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Martin\Desktop\"/>
    </mc:Choice>
  </mc:AlternateContent>
  <bookViews>
    <workbookView xWindow="0" yWindow="0" windowWidth="28800" windowHeight="12210" tabRatio="1000" activeTab="1" xr2:uid="{00000000-000D-0000-FFFF-FFFF00000000}"/>
  </bookViews>
  <sheets>
    <sheet name="DISCLAIMER" sheetId="10" r:id="rId1"/>
    <sheet name="Profit and Loss" sheetId="4" r:id="rId2"/>
    <sheet name="Project Cashflow" sheetId="3" r:id="rId3"/>
    <sheet name="Equity Allocation" sheetId="6" r:id="rId4"/>
    <sheet name="Sales Schedule" sheetId="7" r:id="rId5"/>
    <sheet name="Variance Analysis" sheetId="9" r:id="rId6"/>
    <sheet name="Assumptions" sheetId="8" r:id="rId7"/>
  </sheets>
  <definedNames>
    <definedName name="_xlnm.Print_Area" localSheetId="3">'Equity Allocation'!$A$1:$B$44</definedName>
    <definedName name="_xlnm.Print_Area" localSheetId="2">'Project Cashflow'!$A$1:$AC$137</definedName>
    <definedName name="_xlnm.Print_Area" localSheetId="4">'Sales Schedule'!$A$4:$M$14</definedName>
  </definedNames>
  <calcPr calcId="171027"/>
</workbook>
</file>

<file path=xl/calcChain.xml><?xml version="1.0" encoding="utf-8"?>
<calcChain xmlns="http://schemas.openxmlformats.org/spreadsheetml/2006/main">
  <c r="L8" i="7" l="1"/>
  <c r="L9" i="7"/>
  <c r="L10" i="7"/>
  <c r="L11" i="7"/>
  <c r="L7" i="7"/>
  <c r="B94" i="6" l="1"/>
  <c r="B95" i="6"/>
  <c r="B97" i="6"/>
  <c r="B98" i="6"/>
  <c r="B101" i="6"/>
  <c r="B84" i="6"/>
  <c r="B85" i="6"/>
  <c r="B86" i="6"/>
  <c r="B87" i="6"/>
  <c r="B88" i="6"/>
  <c r="B78" i="6"/>
  <c r="B79" i="6"/>
  <c r="B76" i="6"/>
  <c r="B67" i="6"/>
  <c r="B70" i="6"/>
  <c r="B72" i="6"/>
  <c r="B73" i="6"/>
  <c r="B56" i="6"/>
  <c r="B57" i="6"/>
  <c r="B58" i="6"/>
  <c r="B61" i="6"/>
  <c r="B49" i="6"/>
  <c r="B51" i="6"/>
  <c r="B52" i="6"/>
  <c r="B38" i="6"/>
  <c r="B39" i="6"/>
  <c r="B40" i="6"/>
  <c r="B41" i="6"/>
  <c r="B42" i="6"/>
  <c r="B43" i="6"/>
  <c r="B44" i="6"/>
  <c r="B37" i="6"/>
  <c r="B14" i="6"/>
  <c r="B16" i="6"/>
  <c r="B17" i="6"/>
  <c r="B19" i="6"/>
  <c r="B21" i="6"/>
  <c r="B22" i="6"/>
  <c r="B23" i="6"/>
  <c r="B25" i="6"/>
  <c r="B26" i="6"/>
  <c r="B29" i="6"/>
  <c r="B31" i="6"/>
  <c r="B32" i="6"/>
  <c r="B33" i="6"/>
  <c r="B34" i="6"/>
  <c r="B13" i="6"/>
  <c r="B10" i="6"/>
  <c r="B7" i="6"/>
  <c r="A1" i="9"/>
  <c r="A1" i="8"/>
  <c r="A1" i="7"/>
  <c r="A8" i="6"/>
  <c r="A9" i="6"/>
  <c r="A10" i="6"/>
  <c r="A12" i="6"/>
  <c r="A13" i="6"/>
  <c r="A14" i="6"/>
  <c r="A15" i="6"/>
  <c r="A16" i="6"/>
  <c r="A17" i="6"/>
  <c r="A18" i="6"/>
  <c r="A19" i="6"/>
  <c r="A20" i="6"/>
  <c r="A21" i="6"/>
  <c r="A22" i="6"/>
  <c r="A23" i="6"/>
  <c r="A24" i="6"/>
  <c r="A25" i="6"/>
  <c r="A26" i="6"/>
  <c r="A27" i="6"/>
  <c r="A28" i="6"/>
  <c r="A29" i="6"/>
  <c r="A30" i="6"/>
  <c r="A31" i="6"/>
  <c r="A32" i="6"/>
  <c r="A33" i="6"/>
  <c r="A34" i="6"/>
  <c r="A36" i="6"/>
  <c r="A37" i="6"/>
  <c r="A38" i="6"/>
  <c r="A39" i="6"/>
  <c r="A40" i="6"/>
  <c r="A41" i="6"/>
  <c r="A42" i="6"/>
  <c r="A43" i="6"/>
  <c r="A44" i="6"/>
  <c r="A46" i="6"/>
  <c r="A47" i="6"/>
  <c r="A48" i="6"/>
  <c r="A49" i="6"/>
  <c r="A50" i="6"/>
  <c r="A51" i="6"/>
  <c r="A52" i="6"/>
  <c r="A54" i="6"/>
  <c r="A55" i="6"/>
  <c r="A56" i="6"/>
  <c r="A57" i="6"/>
  <c r="A58" i="6"/>
  <c r="A59" i="6"/>
  <c r="A60" i="6"/>
  <c r="A61" i="6"/>
  <c r="A62" i="6"/>
  <c r="A64" i="6"/>
  <c r="A65" i="6"/>
  <c r="A66" i="6"/>
  <c r="A67" i="6"/>
  <c r="A68" i="6"/>
  <c r="A69" i="6"/>
  <c r="A70" i="6"/>
  <c r="A71" i="6"/>
  <c r="A72" i="6"/>
  <c r="A73" i="6"/>
  <c r="A75" i="6"/>
  <c r="A76" i="6"/>
  <c r="A77" i="6"/>
  <c r="A78" i="6"/>
  <c r="A79" i="6"/>
  <c r="A81" i="6"/>
  <c r="A82" i="6"/>
  <c r="A83" i="6"/>
  <c r="A84" i="6"/>
  <c r="A85" i="6"/>
  <c r="A86" i="6"/>
  <c r="A87" i="6"/>
  <c r="A88" i="6"/>
  <c r="A90" i="6"/>
  <c r="A91" i="6"/>
  <c r="A92" i="6"/>
  <c r="A93" i="6"/>
  <c r="A94" i="6"/>
  <c r="A95" i="6"/>
  <c r="A96" i="6"/>
  <c r="A97" i="6"/>
  <c r="A98" i="6"/>
  <c r="A99" i="6"/>
  <c r="A100" i="6"/>
  <c r="A101" i="6"/>
  <c r="A102" i="6"/>
  <c r="A7" i="6"/>
  <c r="A6" i="6"/>
  <c r="Y55" i="3" l="1"/>
  <c r="AA14" i="3"/>
  <c r="X93" i="3" l="1"/>
  <c r="V93" i="3"/>
  <c r="T93" i="3"/>
  <c r="R93" i="3"/>
  <c r="P93" i="3"/>
  <c r="N93" i="3"/>
  <c r="AC31" i="3" l="1"/>
  <c r="AC33" i="3"/>
  <c r="AC34" i="3"/>
  <c r="AC36" i="3"/>
  <c r="AC38" i="3"/>
  <c r="AC39" i="3"/>
  <c r="AC40" i="3"/>
  <c r="AC42" i="3"/>
  <c r="AC43" i="3"/>
  <c r="AC46" i="3"/>
  <c r="AC48" i="3"/>
  <c r="AC49" i="3"/>
  <c r="AC50" i="3"/>
  <c r="AC51" i="3"/>
  <c r="AC30" i="3"/>
  <c r="AC25" i="3"/>
  <c r="AC27" i="3"/>
  <c r="AC24" i="3"/>
  <c r="AC11" i="3"/>
  <c r="AC12" i="3"/>
  <c r="AC16" i="3"/>
  <c r="AC10" i="3"/>
  <c r="O110" i="3"/>
  <c r="N110" i="3"/>
  <c r="L35" i="3"/>
  <c r="B60" i="4"/>
  <c r="AB72" i="3"/>
  <c r="AB76" i="3"/>
  <c r="J119" i="3"/>
  <c r="B102" i="6" s="1"/>
  <c r="J117" i="3"/>
  <c r="B100" i="6" s="1"/>
  <c r="J116" i="3"/>
  <c r="B99" i="6" s="1"/>
  <c r="J113" i="3"/>
  <c r="B96" i="6" s="1"/>
  <c r="AA125" i="3"/>
  <c r="AA124" i="3"/>
  <c r="AA122" i="3"/>
  <c r="AA123" i="3"/>
  <c r="C99" i="3"/>
  <c r="D15" i="3"/>
  <c r="B8" i="6" s="1"/>
  <c r="N14" i="3"/>
  <c r="J94" i="3"/>
  <c r="B77" i="6" s="1"/>
  <c r="M83" i="3"/>
  <c r="B66" i="6" s="1"/>
  <c r="K85" i="3"/>
  <c r="B68" i="6" s="1"/>
  <c r="M110" i="3"/>
  <c r="L110" i="3"/>
  <c r="K110" i="3"/>
  <c r="K109" i="3"/>
  <c r="L109" i="3"/>
  <c r="M109" i="3"/>
  <c r="N109" i="3"/>
  <c r="J109" i="3"/>
  <c r="J108" i="3"/>
  <c r="B91" i="6" s="1"/>
  <c r="Y72" i="3"/>
  <c r="C76" i="3"/>
  <c r="D76" i="3"/>
  <c r="E76" i="3"/>
  <c r="F76" i="3"/>
  <c r="G76" i="3"/>
  <c r="H76" i="3"/>
  <c r="I76" i="3"/>
  <c r="J76" i="3"/>
  <c r="K76" i="3"/>
  <c r="L76" i="3"/>
  <c r="M76" i="3"/>
  <c r="N76" i="3"/>
  <c r="O76" i="3"/>
  <c r="P76" i="3"/>
  <c r="Q76" i="3"/>
  <c r="R76" i="3"/>
  <c r="S76" i="3"/>
  <c r="T76" i="3"/>
  <c r="U76" i="3"/>
  <c r="V76" i="3"/>
  <c r="W76" i="3"/>
  <c r="X76" i="3"/>
  <c r="Y76" i="3"/>
  <c r="Z76" i="3"/>
  <c r="AA76" i="3"/>
  <c r="AB19" i="3" s="1"/>
  <c r="B76" i="3"/>
  <c r="B79" i="3"/>
  <c r="B62" i="6" s="1"/>
  <c r="B72" i="3"/>
  <c r="B55" i="6" s="1"/>
  <c r="M82" i="3"/>
  <c r="C82" i="3"/>
  <c r="D88" i="3"/>
  <c r="B71" i="6" s="1"/>
  <c r="B86" i="3"/>
  <c r="B69" i="6" s="1"/>
  <c r="Y87" i="3"/>
  <c r="Z90" i="3"/>
  <c r="W58" i="3"/>
  <c r="B65" i="6" l="1"/>
  <c r="B59" i="6"/>
  <c r="B92" i="6"/>
  <c r="B93" i="6"/>
  <c r="AC35" i="3"/>
  <c r="B18" i="6"/>
  <c r="Z110" i="3"/>
  <c r="N101" i="3"/>
  <c r="D100" i="3"/>
  <c r="G32" i="3"/>
  <c r="B15" i="6" s="1"/>
  <c r="G47" i="3"/>
  <c r="G37" i="3"/>
  <c r="G44" i="3"/>
  <c r="F45" i="3"/>
  <c r="F41" i="3"/>
  <c r="B24" i="6" s="1"/>
  <c r="C65" i="3"/>
  <c r="D65" i="3"/>
  <c r="E17" i="3"/>
  <c r="E65" i="3" s="1"/>
  <c r="F17" i="3"/>
  <c r="F65" i="3" s="1"/>
  <c r="G17" i="3"/>
  <c r="G65" i="3" s="1"/>
  <c r="H17" i="3"/>
  <c r="H65" i="3" s="1"/>
  <c r="I17" i="3"/>
  <c r="I65" i="3" s="1"/>
  <c r="J17" i="3"/>
  <c r="J65" i="3" s="1"/>
  <c r="K17" i="3"/>
  <c r="K65" i="3" s="1"/>
  <c r="L17" i="3"/>
  <c r="L65" i="3" s="1"/>
  <c r="M17" i="3"/>
  <c r="M65" i="3" s="1"/>
  <c r="U64" i="3"/>
  <c r="I64" i="3"/>
  <c r="B47" i="6" s="1"/>
  <c r="I67" i="3"/>
  <c r="B50" i="6" s="1"/>
  <c r="D26" i="3"/>
  <c r="B9" i="6" s="1"/>
  <c r="AC45" i="3" l="1"/>
  <c r="B28" i="6"/>
  <c r="AC47" i="3"/>
  <c r="B30" i="6"/>
  <c r="AC44" i="3"/>
  <c r="B27" i="6"/>
  <c r="E15" i="3"/>
  <c r="AC37" i="3"/>
  <c r="B20" i="6"/>
  <c r="AC41" i="3"/>
  <c r="AC26" i="3"/>
  <c r="B20" i="3"/>
  <c r="AC17" i="3"/>
  <c r="D8" i="4" s="1"/>
  <c r="AC32" i="3"/>
  <c r="O14" i="3"/>
  <c r="E100" i="3"/>
  <c r="B65" i="3"/>
  <c r="B48" i="6" s="1"/>
  <c r="A31" i="4"/>
  <c r="A30" i="4"/>
  <c r="A29" i="4"/>
  <c r="A28" i="4"/>
  <c r="AC124" i="3"/>
  <c r="AC125" i="3"/>
  <c r="AC122" i="3"/>
  <c r="B55" i="4" s="1"/>
  <c r="AC61" i="3"/>
  <c r="A8" i="4"/>
  <c r="A7" i="4"/>
  <c r="A9" i="4"/>
  <c r="A21" i="4"/>
  <c r="A20" i="4"/>
  <c r="A64" i="4" s="1"/>
  <c r="A19" i="4"/>
  <c r="A18" i="4"/>
  <c r="A17" i="4"/>
  <c r="A16" i="4"/>
  <c r="A1" i="6"/>
  <c r="AC109" i="3"/>
  <c r="AC110" i="3"/>
  <c r="AC111" i="3"/>
  <c r="AC112" i="3"/>
  <c r="AC113" i="3"/>
  <c r="AC114" i="3"/>
  <c r="AC115" i="3"/>
  <c r="AC116" i="3"/>
  <c r="AC117" i="3"/>
  <c r="AC118" i="3"/>
  <c r="AC119" i="3"/>
  <c r="AC108" i="3"/>
  <c r="AC104" i="3"/>
  <c r="AC105" i="3"/>
  <c r="AC94" i="3"/>
  <c r="AC95" i="3"/>
  <c r="AC96" i="3"/>
  <c r="AC93" i="3"/>
  <c r="M99" i="3" s="1"/>
  <c r="B82" i="6" s="1"/>
  <c r="AC83" i="3"/>
  <c r="AC84" i="3"/>
  <c r="AC85" i="3"/>
  <c r="AC86" i="3"/>
  <c r="AC87" i="3"/>
  <c r="AC88" i="3"/>
  <c r="AC89" i="3"/>
  <c r="AC90" i="3"/>
  <c r="AC82" i="3"/>
  <c r="AC73" i="3"/>
  <c r="AC74" i="3"/>
  <c r="AC75" i="3"/>
  <c r="AC76" i="3"/>
  <c r="AC78" i="3"/>
  <c r="AC79" i="3"/>
  <c r="AC72" i="3"/>
  <c r="AC66" i="3"/>
  <c r="AC67" i="3"/>
  <c r="AC68" i="3"/>
  <c r="AC69" i="3"/>
  <c r="AC64" i="3"/>
  <c r="AC55" i="3"/>
  <c r="AC56" i="3"/>
  <c r="AC57" i="3"/>
  <c r="AC58" i="3"/>
  <c r="AC59" i="3"/>
  <c r="AC60" i="3"/>
  <c r="AC54" i="3"/>
  <c r="B54" i="4"/>
  <c r="D7" i="4"/>
  <c r="I12" i="7"/>
  <c r="Z18" i="3" s="1"/>
  <c r="AC18" i="3" s="1"/>
  <c r="F12" i="7"/>
  <c r="E12" i="7"/>
  <c r="D12" i="7"/>
  <c r="J11" i="7"/>
  <c r="G11" i="7"/>
  <c r="J10" i="7"/>
  <c r="G10" i="7"/>
  <c r="J9" i="7"/>
  <c r="G9" i="7"/>
  <c r="J8" i="7"/>
  <c r="G8" i="7"/>
  <c r="J7" i="7"/>
  <c r="G7" i="7"/>
  <c r="A3" i="3"/>
  <c r="A1" i="3"/>
  <c r="C21" i="4" l="1"/>
  <c r="C19" i="4"/>
  <c r="C18" i="4"/>
  <c r="AC65" i="3"/>
  <c r="C30" i="4"/>
  <c r="F15" i="3"/>
  <c r="AC99" i="3"/>
  <c r="O101" i="3"/>
  <c r="F100" i="3"/>
  <c r="AA129" i="3"/>
  <c r="AA131" i="3" s="1"/>
  <c r="F77" i="3"/>
  <c r="F131" i="3" s="1"/>
  <c r="J77" i="3"/>
  <c r="N77" i="3"/>
  <c r="R77" i="3"/>
  <c r="V77" i="3"/>
  <c r="B77" i="3"/>
  <c r="C77" i="3"/>
  <c r="C131" i="3" s="1"/>
  <c r="G77" i="3"/>
  <c r="K77" i="3"/>
  <c r="O77" i="3"/>
  <c r="S77" i="3"/>
  <c r="W77" i="3"/>
  <c r="D77" i="3"/>
  <c r="D131" i="3" s="1"/>
  <c r="H77" i="3"/>
  <c r="L77" i="3"/>
  <c r="P77" i="3"/>
  <c r="T77" i="3"/>
  <c r="X77" i="3"/>
  <c r="E77" i="3"/>
  <c r="E131" i="3" s="1"/>
  <c r="I77" i="3"/>
  <c r="M77" i="3"/>
  <c r="Q77" i="3"/>
  <c r="U77" i="3"/>
  <c r="Y77" i="3"/>
  <c r="C32" i="4"/>
  <c r="C22" i="4" s="1"/>
  <c r="C31" i="4"/>
  <c r="J12" i="7"/>
  <c r="C16" i="4"/>
  <c r="C17" i="4"/>
  <c r="G12" i="7"/>
  <c r="B60" i="6" l="1"/>
  <c r="G100" i="3"/>
  <c r="H100" i="3" s="1"/>
  <c r="H131" i="3" s="1"/>
  <c r="B131" i="3"/>
  <c r="B133" i="3" s="1"/>
  <c r="P14" i="3"/>
  <c r="D9" i="4"/>
  <c r="F19" i="3"/>
  <c r="D19" i="3"/>
  <c r="AC77" i="3"/>
  <c r="C19" i="3"/>
  <c r="C5" i="3"/>
  <c r="C13" i="3" s="1"/>
  <c r="AC129" i="3"/>
  <c r="D10" i="4" s="1"/>
  <c r="K8" i="7"/>
  <c r="M8" i="7" s="1"/>
  <c r="K9" i="7"/>
  <c r="M9" i="7" s="1"/>
  <c r="K11" i="7"/>
  <c r="M11" i="7" s="1"/>
  <c r="K10" i="7"/>
  <c r="M10" i="7" s="1"/>
  <c r="K7" i="7"/>
  <c r="G131" i="3" l="1"/>
  <c r="I100" i="3"/>
  <c r="I131" i="3"/>
  <c r="C20" i="3"/>
  <c r="P101" i="3"/>
  <c r="J100" i="3"/>
  <c r="G7" i="9"/>
  <c r="B7" i="9"/>
  <c r="C7" i="9"/>
  <c r="D7" i="9"/>
  <c r="J7" i="9"/>
  <c r="E7" i="9"/>
  <c r="H7" i="9"/>
  <c r="F7" i="9"/>
  <c r="I7" i="9"/>
  <c r="C133" i="3"/>
  <c r="D5" i="3" s="1"/>
  <c r="D13" i="3" s="1"/>
  <c r="D20" i="3" s="1"/>
  <c r="C20" i="4"/>
  <c r="C28" i="4"/>
  <c r="K12" i="7"/>
  <c r="K100" i="3" l="1"/>
  <c r="J131" i="3"/>
  <c r="B64" i="4"/>
  <c r="D24" i="4"/>
  <c r="Q14" i="3"/>
  <c r="L100" i="3"/>
  <c r="L131" i="3" s="1"/>
  <c r="M7" i="7"/>
  <c r="M12" i="7" s="1"/>
  <c r="L12" i="7"/>
  <c r="G19" i="3"/>
  <c r="E19" i="3"/>
  <c r="K131" i="3" l="1"/>
  <c r="Q101" i="3"/>
  <c r="M100" i="3"/>
  <c r="D133" i="3"/>
  <c r="G15" i="3"/>
  <c r="E5" i="3" l="1"/>
  <c r="E13" i="3" s="1"/>
  <c r="E20" i="3" s="1"/>
  <c r="N15" i="3"/>
  <c r="M131" i="3"/>
  <c r="N100" i="3"/>
  <c r="R14" i="3"/>
  <c r="H19" i="3"/>
  <c r="H15" i="3"/>
  <c r="N131" i="3" l="1"/>
  <c r="O100" i="3"/>
  <c r="P15" i="3" s="1"/>
  <c r="R101" i="3"/>
  <c r="O15" i="3"/>
  <c r="I19" i="3"/>
  <c r="I15" i="3"/>
  <c r="O131" i="3" l="1"/>
  <c r="P100" i="3"/>
  <c r="Q100" i="3" s="1"/>
  <c r="P19" i="3"/>
  <c r="S14" i="3"/>
  <c r="Q19" i="3"/>
  <c r="J19" i="3"/>
  <c r="J15" i="3"/>
  <c r="E133" i="3"/>
  <c r="F5" i="3" s="1"/>
  <c r="Q131" i="3" l="1"/>
  <c r="R15" i="3"/>
  <c r="Q15" i="3"/>
  <c r="P131" i="3"/>
  <c r="R19" i="3"/>
  <c r="R100" i="3"/>
  <c r="R131" i="3" s="1"/>
  <c r="S101" i="3"/>
  <c r="F13" i="3"/>
  <c r="F20" i="3" s="1"/>
  <c r="K15" i="3"/>
  <c r="K19" i="3"/>
  <c r="S19" i="3" l="1"/>
  <c r="S15" i="3"/>
  <c r="S100" i="3"/>
  <c r="S131" i="3" s="1"/>
  <c r="T14" i="3"/>
  <c r="L19" i="3"/>
  <c r="L15" i="3"/>
  <c r="T100" i="3" l="1"/>
  <c r="T19" i="3"/>
  <c r="T15" i="3"/>
  <c r="T101" i="3"/>
  <c r="M19" i="3"/>
  <c r="M15" i="3"/>
  <c r="B83" i="6" s="1"/>
  <c r="F133" i="3"/>
  <c r="G5" i="3" s="1"/>
  <c r="U100" i="3" l="1"/>
  <c r="U15" i="3"/>
  <c r="U14" i="3"/>
  <c r="T131" i="3"/>
  <c r="U19" i="3"/>
  <c r="G13" i="3"/>
  <c r="G20" i="3" s="1"/>
  <c r="N19" i="3"/>
  <c r="V15" i="3" l="1"/>
  <c r="V100" i="3"/>
  <c r="U101" i="3"/>
  <c r="W15" i="3" l="1"/>
  <c r="W100" i="3"/>
  <c r="V14" i="3"/>
  <c r="U131" i="3"/>
  <c r="V19" i="3"/>
  <c r="G133" i="3"/>
  <c r="H5" i="3" s="1"/>
  <c r="X100" i="3" l="1"/>
  <c r="X15" i="3"/>
  <c r="V101" i="3"/>
  <c r="H13" i="3"/>
  <c r="H20" i="3" s="1"/>
  <c r="Y100" i="3" l="1"/>
  <c r="Z15" i="3" s="1"/>
  <c r="Y15" i="3"/>
  <c r="AC100" i="3"/>
  <c r="W14" i="3"/>
  <c r="W101" i="3" s="1"/>
  <c r="V131" i="3"/>
  <c r="W19" i="3"/>
  <c r="H133" i="3"/>
  <c r="I5" i="3" s="1"/>
  <c r="AC15" i="3" l="1"/>
  <c r="X14" i="3"/>
  <c r="X101" i="3" s="1"/>
  <c r="W131" i="3"/>
  <c r="X19" i="3"/>
  <c r="I13" i="3"/>
  <c r="I20" i="3" s="1"/>
  <c r="B50" i="4" l="1"/>
  <c r="Z102" i="3"/>
  <c r="AC102" i="3" s="1"/>
  <c r="Y14" i="3"/>
  <c r="Y101" i="3" s="1"/>
  <c r="X131" i="3"/>
  <c r="Y19" i="3"/>
  <c r="I133" i="3"/>
  <c r="J5" i="3" s="1"/>
  <c r="Z14" i="3" l="1"/>
  <c r="AC14" i="3" s="1"/>
  <c r="B51" i="4" s="1"/>
  <c r="Y131" i="3"/>
  <c r="Z19" i="3"/>
  <c r="AC101" i="3"/>
  <c r="J13" i="3"/>
  <c r="J20" i="3" l="1"/>
  <c r="J133" i="3" s="1"/>
  <c r="K5" i="3" s="1"/>
  <c r="K13" i="3" s="1"/>
  <c r="K20" i="3" l="1"/>
  <c r="K133" i="3" s="1"/>
  <c r="L5" i="3" s="1"/>
  <c r="L13" i="3" s="1"/>
  <c r="L20" i="3" l="1"/>
  <c r="L133" i="3" s="1"/>
  <c r="M5" i="3" s="1"/>
  <c r="M13" i="3" s="1"/>
  <c r="M20" i="3" l="1"/>
  <c r="M133" i="3" s="1"/>
  <c r="O19" i="3"/>
  <c r="N5" i="3" l="1"/>
  <c r="N13" i="3" s="1"/>
  <c r="N20" i="3" s="1"/>
  <c r="B104" i="6"/>
  <c r="B106" i="6" s="1"/>
  <c r="B48" i="4"/>
  <c r="B49" i="4" s="1"/>
  <c r="Z103" i="3"/>
  <c r="Z131" i="3" s="1"/>
  <c r="N133" i="3"/>
  <c r="O5" i="3" s="1"/>
  <c r="O13" i="3" s="1"/>
  <c r="O20" i="3" s="1"/>
  <c r="AC103" i="3" l="1"/>
  <c r="AA19" i="3"/>
  <c r="AC19" i="3" s="1"/>
  <c r="D36" i="4" s="1"/>
  <c r="C29" i="4" l="1"/>
  <c r="D34" i="4" s="1"/>
  <c r="D38" i="4" s="1"/>
  <c r="O133" i="3"/>
  <c r="P5" i="3" s="1"/>
  <c r="F14" i="9" l="1"/>
  <c r="J14" i="9"/>
  <c r="C14" i="9"/>
  <c r="G14" i="9"/>
  <c r="B14" i="9"/>
  <c r="D14" i="9"/>
  <c r="H14" i="9"/>
  <c r="E14" i="9"/>
  <c r="I14" i="9"/>
  <c r="P13" i="3"/>
  <c r="P20" i="3" s="1"/>
  <c r="P133" i="3" l="1"/>
  <c r="Q5" i="3" s="1"/>
  <c r="Q13" i="3" l="1"/>
  <c r="Q20" i="3" s="1"/>
  <c r="Q133" i="3" l="1"/>
  <c r="R5" i="3" s="1"/>
  <c r="R13" i="3" l="1"/>
  <c r="R20" i="3" s="1"/>
  <c r="R133" i="3" l="1"/>
  <c r="S5" i="3" s="1"/>
  <c r="S13" i="3" l="1"/>
  <c r="S20" i="3" s="1"/>
  <c r="S133" i="3" l="1"/>
  <c r="T5" i="3" s="1"/>
  <c r="T13" i="3" l="1"/>
  <c r="T20" i="3" l="1"/>
  <c r="T133" i="3" s="1"/>
  <c r="U5" i="3" s="1"/>
  <c r="U13" i="3" s="1"/>
  <c r="U20" i="3" l="1"/>
  <c r="U133" i="3" s="1"/>
  <c r="V5" i="3" s="1"/>
  <c r="V13" i="3" s="1"/>
  <c r="V20" i="3" l="1"/>
  <c r="V133" i="3" s="1"/>
  <c r="W5" i="3" s="1"/>
  <c r="W13" i="3" s="1"/>
  <c r="W20" i="3" l="1"/>
  <c r="W133" i="3" s="1"/>
  <c r="X5" i="3" s="1"/>
  <c r="X13" i="3" s="1"/>
  <c r="X20" i="3" l="1"/>
  <c r="X133" i="3" s="1"/>
  <c r="Y5" i="3" s="1"/>
  <c r="Y13" i="3" s="1"/>
  <c r="Y20" i="3" l="1"/>
  <c r="Y133" i="3" s="1"/>
  <c r="Z5" i="3" s="1"/>
  <c r="Z13" i="3" s="1"/>
  <c r="Z20" i="3" l="1"/>
  <c r="Z133" i="3" s="1"/>
  <c r="AA5" i="3" s="1"/>
  <c r="AA13" i="3" s="1"/>
  <c r="AC123" i="3"/>
  <c r="B61" i="4" s="1"/>
  <c r="AA20" i="3" l="1"/>
  <c r="AA133" i="3" s="1"/>
  <c r="AB5" i="3" s="1"/>
  <c r="AB13" i="3" l="1"/>
  <c r="AB20" i="3" l="1"/>
  <c r="AB126" i="3" s="1"/>
  <c r="AC13" i="3"/>
  <c r="AC20" i="3" s="1"/>
  <c r="D6" i="4" l="1"/>
  <c r="D12" i="4" s="1"/>
  <c r="D40" i="4" s="1"/>
  <c r="B56" i="4"/>
  <c r="AC126" i="3"/>
  <c r="AB127" i="3"/>
  <c r="B45" i="4" l="1"/>
  <c r="B57" i="4"/>
  <c r="C57" i="4" s="1"/>
  <c r="C15" i="9"/>
  <c r="G15" i="9"/>
  <c r="B15" i="9"/>
  <c r="D15" i="9"/>
  <c r="H15" i="9"/>
  <c r="E15" i="9"/>
  <c r="I15" i="9"/>
  <c r="F15" i="9"/>
  <c r="J15" i="9"/>
  <c r="B62" i="4"/>
  <c r="B63" i="4" s="1"/>
  <c r="C63" i="4" s="1"/>
  <c r="AC127" i="3"/>
  <c r="AC131" i="3" s="1"/>
  <c r="AC133" i="3" s="1"/>
  <c r="B47" i="4"/>
  <c r="AB131" i="3"/>
  <c r="AB133" i="3" s="1"/>
  <c r="E8" i="9"/>
  <c r="B46" i="4"/>
  <c r="G8" i="9"/>
  <c r="D8" i="9"/>
  <c r="I8" i="9"/>
  <c r="C8" i="9"/>
  <c r="B8" i="9"/>
  <c r="F8" i="9"/>
  <c r="H8" i="9"/>
  <c r="J8" i="9"/>
</calcChain>
</file>

<file path=xl/sharedStrings.xml><?xml version="1.0" encoding="utf-8"?>
<sst xmlns="http://schemas.openxmlformats.org/spreadsheetml/2006/main" count="241" uniqueCount="209">
  <si>
    <t>Stamp Duty</t>
  </si>
  <si>
    <t>Constructions Costs</t>
  </si>
  <si>
    <t>Legal Fees</t>
  </si>
  <si>
    <t>GST Payable</t>
  </si>
  <si>
    <t>Finance Costs</t>
  </si>
  <si>
    <t>Inflows</t>
  </si>
  <si>
    <t>Outflows</t>
  </si>
  <si>
    <t>Opening Cash</t>
  </si>
  <si>
    <t>Closing Cash</t>
  </si>
  <si>
    <t>August</t>
  </si>
  <si>
    <t>September</t>
  </si>
  <si>
    <t xml:space="preserve">October </t>
  </si>
  <si>
    <t>November</t>
  </si>
  <si>
    <t xml:space="preserve">January </t>
  </si>
  <si>
    <t>March</t>
  </si>
  <si>
    <t>June</t>
  </si>
  <si>
    <t>July</t>
  </si>
  <si>
    <t>Total</t>
  </si>
  <si>
    <t>Total Inflows</t>
  </si>
  <si>
    <t>Total Outflows</t>
  </si>
  <si>
    <t>GST Refund</t>
  </si>
  <si>
    <t>CASHFLOW PROJECTIONS AND FUND REQUIREMENTS</t>
  </si>
  <si>
    <t>Formation, Entity Setup Costs</t>
  </si>
  <si>
    <t>Bank Charges</t>
  </si>
  <si>
    <t>Interest</t>
  </si>
  <si>
    <t>December</t>
  </si>
  <si>
    <t>Valuation Fee</t>
  </si>
  <si>
    <t>ASIC Filing Fees</t>
  </si>
  <si>
    <t>April</t>
  </si>
  <si>
    <t>Project Management/Supervision</t>
  </si>
  <si>
    <t>Income</t>
  </si>
  <si>
    <t>Total Expenses</t>
  </si>
  <si>
    <t>Project Profit and Loss Statement</t>
  </si>
  <si>
    <t>Feasibility costs and Investor Document Preparation</t>
  </si>
  <si>
    <t xml:space="preserve">February </t>
  </si>
  <si>
    <t>May</t>
  </si>
  <si>
    <t>January</t>
  </si>
  <si>
    <t>February</t>
  </si>
  <si>
    <t>October</t>
  </si>
  <si>
    <t>Sales and Marketing Costs</t>
  </si>
  <si>
    <t>Marketing Material</t>
  </si>
  <si>
    <t>Advertising</t>
  </si>
  <si>
    <t>Building Construction Costs</t>
  </si>
  <si>
    <t>Land Aquistion and Development Costs</t>
  </si>
  <si>
    <t>Gross Profit Margin</t>
  </si>
  <si>
    <t>Accounting Fees</t>
  </si>
  <si>
    <t>Settlement Adjustments</t>
  </si>
  <si>
    <t xml:space="preserve">Net Profit after Interest </t>
  </si>
  <si>
    <t>Equity - Investors</t>
  </si>
  <si>
    <t>Equity - Developer</t>
  </si>
  <si>
    <t>Loan Drawdown - Land</t>
  </si>
  <si>
    <t>Loan Drawdown - Development</t>
  </si>
  <si>
    <t>Rent Received</t>
  </si>
  <si>
    <t>Rebates</t>
  </si>
  <si>
    <t>Bond refunds</t>
  </si>
  <si>
    <t>Interest Received</t>
  </si>
  <si>
    <t>Design and Planning Costs</t>
  </si>
  <si>
    <t>3D Renders for Planning</t>
  </si>
  <si>
    <t>Land Scaping Design</t>
  </si>
  <si>
    <t>Town Planning consultant</t>
  </si>
  <si>
    <t>Town Plan Application/Permit Fees</t>
  </si>
  <si>
    <t>Fauna and Flora Assessment</t>
  </si>
  <si>
    <t>Contamination report</t>
  </si>
  <si>
    <t>Traffic Engineer</t>
  </si>
  <si>
    <t>Architect</t>
  </si>
  <si>
    <t>Archaeological Assessment</t>
  </si>
  <si>
    <t>Acquisition Costs</t>
  </si>
  <si>
    <t>Environment and Sustainability Development</t>
  </si>
  <si>
    <t>Energy Efficiency Ratings</t>
  </si>
  <si>
    <t>Civil Engineer</t>
  </si>
  <si>
    <t>Draftsman</t>
  </si>
  <si>
    <t>Structural engineer</t>
  </si>
  <si>
    <t>Contributions and Charges</t>
  </si>
  <si>
    <t>Sewer Contribution Fees</t>
  </si>
  <si>
    <t>Water Contribution Fees</t>
  </si>
  <si>
    <t>Councill Open Space Contribution</t>
  </si>
  <si>
    <t>Deposit On Property</t>
  </si>
  <si>
    <t>Balance of Purchase Price</t>
  </si>
  <si>
    <t>Holding Costs</t>
  </si>
  <si>
    <t>Land Tax</t>
  </si>
  <si>
    <t>Water Rates</t>
  </si>
  <si>
    <t>Geotechnical/Soil Test</t>
  </si>
  <si>
    <t>Printing Material</t>
  </si>
  <si>
    <t>Display Unit Works</t>
  </si>
  <si>
    <t>Signage &amp; Boards</t>
  </si>
  <si>
    <t>Temp.fence &amp; Electrical</t>
  </si>
  <si>
    <t>Other Marketing</t>
  </si>
  <si>
    <t>Travel,Accom,&amp; Expens.</t>
  </si>
  <si>
    <t>Application Fees</t>
  </si>
  <si>
    <t>Brokerage Fees</t>
  </si>
  <si>
    <t>QS Fees</t>
  </si>
  <si>
    <t>Repairs /Replacement</t>
  </si>
  <si>
    <t>General Maintnance</t>
  </si>
  <si>
    <t>Administration Costs</t>
  </si>
  <si>
    <t>Building Contract</t>
  </si>
  <si>
    <t>Lodgment Plan Sub</t>
  </si>
  <si>
    <t>Contract &amp; Vendor Statment</t>
  </si>
  <si>
    <t>Settlment Legals</t>
  </si>
  <si>
    <t>Borrowing documents</t>
  </si>
  <si>
    <t>Investors Agreements</t>
  </si>
  <si>
    <t>Purchase Contract</t>
  </si>
  <si>
    <t>Book Keeping Costs</t>
  </si>
  <si>
    <t>Entity Costs</t>
  </si>
  <si>
    <t>Development Management Fees</t>
  </si>
  <si>
    <t>Demolition Costs</t>
  </si>
  <si>
    <t>Insurances</t>
  </si>
  <si>
    <t>Consultant contracts</t>
  </si>
  <si>
    <t>Security Costs</t>
  </si>
  <si>
    <t>S173 Agreement</t>
  </si>
  <si>
    <t>Hydraulic Engineer</t>
  </si>
  <si>
    <t>Electrical Engineer</t>
  </si>
  <si>
    <t>Mechanical Engineer</t>
  </si>
  <si>
    <t>Fire Consultant</t>
  </si>
  <si>
    <t>VCAT Allowance</t>
  </si>
  <si>
    <t xml:space="preserve">Web Site </t>
  </si>
  <si>
    <t xml:space="preserve">Apart. </t>
  </si>
  <si>
    <t>No.Of</t>
  </si>
  <si>
    <t>No of</t>
  </si>
  <si>
    <t xml:space="preserve">Car </t>
  </si>
  <si>
    <t>Sales</t>
  </si>
  <si>
    <t>Sale Rate</t>
  </si>
  <si>
    <t>Allotment</t>
  </si>
  <si>
    <t>Land Value</t>
  </si>
  <si>
    <t>Lot No.</t>
  </si>
  <si>
    <t>Bedrm</t>
  </si>
  <si>
    <t>Bathrm</t>
  </si>
  <si>
    <t>Space</t>
  </si>
  <si>
    <t>Size M2</t>
  </si>
  <si>
    <t>M2</t>
  </si>
  <si>
    <t>Valuation</t>
  </si>
  <si>
    <t>Per M2</t>
  </si>
  <si>
    <t>Entitlment</t>
  </si>
  <si>
    <t>Allocation</t>
  </si>
  <si>
    <t>Estimate</t>
  </si>
  <si>
    <t>Allocation of Equity Raised</t>
  </si>
  <si>
    <t>Sales Revenue</t>
  </si>
  <si>
    <t>Bonds - Refundable</t>
  </si>
  <si>
    <t>GST on Income</t>
  </si>
  <si>
    <t>Equity &amp; Profit Distributions</t>
  </si>
  <si>
    <t>Equity Interest - Investors</t>
  </si>
  <si>
    <t>Equity Interest - Developer</t>
  </si>
  <si>
    <t xml:space="preserve">Equity Return - Investor </t>
  </si>
  <si>
    <t>Equity Return - Developer</t>
  </si>
  <si>
    <t>Profit Distribution - Investor</t>
  </si>
  <si>
    <t>Profit Distribution - Developer</t>
  </si>
  <si>
    <t>Commissions - Presales</t>
  </si>
  <si>
    <t>Commissions - Retail</t>
  </si>
  <si>
    <t>Peak Debt</t>
  </si>
  <si>
    <t>Total Equity</t>
  </si>
  <si>
    <t>Return on Equity</t>
  </si>
  <si>
    <t>GRV Lend Ratio</t>
  </si>
  <si>
    <t>Financial Analysis</t>
  </si>
  <si>
    <t>Investor Analysis</t>
  </si>
  <si>
    <t>LVR Land</t>
  </si>
  <si>
    <t>LVR Construction hard Costs</t>
  </si>
  <si>
    <t xml:space="preserve">Cost to Sales Ratio </t>
  </si>
  <si>
    <t>Project and Entity Costs</t>
  </si>
  <si>
    <t xml:space="preserve">Legals - Land Acquisition and Development </t>
  </si>
  <si>
    <t xml:space="preserve">Legals - Project and Entity </t>
  </si>
  <si>
    <t>GST on Costs</t>
  </si>
  <si>
    <t>Total Project and Entity Costs</t>
  </si>
  <si>
    <t>Total Land Aquistion and Development Costs</t>
  </si>
  <si>
    <t>Net Profit Margin</t>
  </si>
  <si>
    <t>Equity Interest Return</t>
  </si>
  <si>
    <t>Equity Profit Return</t>
  </si>
  <si>
    <t>Application of Funds</t>
  </si>
  <si>
    <t>Electricity Sub Station</t>
  </si>
  <si>
    <t>Fire Service Levy</t>
  </si>
  <si>
    <t>+15%</t>
  </si>
  <si>
    <t>+20%</t>
  </si>
  <si>
    <t>+10%</t>
  </si>
  <si>
    <t>+5%</t>
  </si>
  <si>
    <t>+0%</t>
  </si>
  <si>
    <t>-15%</t>
  </si>
  <si>
    <t>-5%</t>
  </si>
  <si>
    <t>-10%</t>
  </si>
  <si>
    <t>-20%</t>
  </si>
  <si>
    <t>Profit Estimate</t>
  </si>
  <si>
    <t>Sales ($)</t>
  </si>
  <si>
    <t>Costs ($)</t>
  </si>
  <si>
    <t>1</t>
  </si>
  <si>
    <t>2</t>
  </si>
  <si>
    <t>3</t>
  </si>
  <si>
    <t>4</t>
  </si>
  <si>
    <t>5</t>
  </si>
  <si>
    <t>Internal</t>
  </si>
  <si>
    <t>Deck/Porch</t>
  </si>
  <si>
    <t>Land</t>
  </si>
  <si>
    <t>Council Rates</t>
  </si>
  <si>
    <t>Land Surveyor</t>
  </si>
  <si>
    <t>Gas,Power,Water,Phone,Intern, connection fees</t>
  </si>
  <si>
    <t>3 D Renders</t>
  </si>
  <si>
    <t>Interior Deisng Consultant</t>
  </si>
  <si>
    <t>Interest Payable - Land Loan</t>
  </si>
  <si>
    <t>Interest Payable - Development Loan</t>
  </si>
  <si>
    <t>Loan Repayments - Land Loan</t>
  </si>
  <si>
    <t>Loan Repayments - Development Loan</t>
  </si>
  <si>
    <t>p.a</t>
  </si>
  <si>
    <t>Developer Analysis</t>
  </si>
  <si>
    <t>Sales Variance (Allowing 6.6% Sales Costs)</t>
  </si>
  <si>
    <t>Cashflow Reserve</t>
  </si>
  <si>
    <t>Sales and Costs Variance Analysis</t>
  </si>
  <si>
    <t>Costs Variance (Excl Entity, Sales and Marketing, Land Acquisition Costs)</t>
  </si>
  <si>
    <t>Assumptions</t>
  </si>
  <si>
    <t>Sales Schedule</t>
  </si>
  <si>
    <t>Total Equity Raised</t>
  </si>
  <si>
    <t>Project</t>
  </si>
  <si>
    <t>This worksheet is an example only, and does not take into account individual project assumptions or needs.  Please seek professional assistance and advice to tailor this spreadsheet to your project and to assist with your decision making process.</t>
  </si>
  <si>
    <t>For the Period 01/07/17 - 31/12/18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</si>
</sst>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 #,##0_-;_-* &quot;-&quot;_-;_-@_-"/>
    <numFmt numFmtId="165" formatCode="_-&quot;$&quot;* #,##0.00_-;\-&quot;$&quot;* #,##0.00_-;_-&quot;$&quot;* &quot;-&quot;??_-;_-@_-"/>
    <numFmt numFmtId="166" formatCode="_-* #,##0.00_-;\-* #,##0.00_-;_-* &quot;-&quot;??_-;_-@_-"/>
    <numFmt numFmtId="167" formatCode="_-&quot;$&quot;* #,##0_-;\-&quot;$&quot;* #,##0_-;_-&quot;$&quot;* &quot;-&quot;??_-;_-@_-"/>
    <numFmt numFmtId="168" formatCode="0.0"/>
    <numFmt numFmtId="169" formatCode="_-&quot;$&quot;* #,##0.0_-;\-&quot;$&quot;* #,##0.0_-;_-&quot;$&quot;* &quot;-&quot;?_-;_-@_-"/>
    <numFmt numFmtId="170" formatCode="#,##0_ ;\-#,##0\ "/>
    <numFmt numFmtId="171" formatCode="#,##0.00_ ;\-#,##0.00\ "/>
    <numFmt numFmtId="172" formatCode="_-&quot;$&quot;* #,##0.000_-;\-&quot;$&quot;* #,##0.000_-;_-&quot;$&quot;* &quot;-&quot;???_-;_-@_-"/>
  </numFmts>
  <fonts count="17" x14ac:knownFonts="1">
    <font>
      <sz val="10"/>
      <name val="Arial"/>
    </font>
    <font>
      <sz val="10"/>
      <name val="Arial"/>
    </font>
    <font>
      <b/>
      <sz val="10"/>
      <name val="Arial"/>
      <family val="2"/>
    </font>
    <font>
      <sz val="10"/>
      <name val="Arial"/>
      <family val="2"/>
    </font>
    <font>
      <b/>
      <sz val="14"/>
      <name val="Arial"/>
      <family val="2"/>
    </font>
    <font>
      <b/>
      <i/>
      <sz val="10"/>
      <name val="Arial"/>
      <family val="2"/>
    </font>
    <font>
      <sz val="14"/>
      <name val="Arial"/>
      <family val="2"/>
    </font>
    <font>
      <sz val="10"/>
      <name val="Arial"/>
      <family val="2"/>
    </font>
    <font>
      <sz val="8"/>
      <name val="Arial"/>
      <family val="2"/>
    </font>
    <font>
      <b/>
      <sz val="9"/>
      <name val="Arial"/>
      <family val="2"/>
    </font>
    <font>
      <sz val="9"/>
      <name val="Arial"/>
      <family val="2"/>
    </font>
    <font>
      <b/>
      <sz val="8"/>
      <name val="Tahoma"/>
      <family val="2"/>
    </font>
    <font>
      <sz val="10"/>
      <name val="Arial"/>
    </font>
    <font>
      <sz val="10"/>
      <name val="Century Gothic"/>
      <family val="2"/>
    </font>
    <font>
      <b/>
      <sz val="9"/>
      <color indexed="10"/>
      <name val="Arial"/>
      <family val="2"/>
    </font>
    <font>
      <b/>
      <u/>
      <sz val="10"/>
      <name val="Arial"/>
      <family val="2"/>
    </font>
    <font>
      <b/>
      <sz val="16"/>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FFFF00"/>
        <bgColor indexed="64"/>
      </patternFill>
    </fill>
  </fills>
  <borders count="8">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17"/>
      </top>
      <bottom style="double">
        <color indexed="17"/>
      </bottom>
      <diagonal/>
    </border>
    <border>
      <left/>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s>
  <cellStyleXfs count="7">
    <xf numFmtId="0" fontId="0" fillId="0" borderId="0"/>
    <xf numFmtId="166"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cellStyleXfs>
  <cellXfs count="95">
    <xf numFmtId="0" fontId="0" fillId="0" borderId="0" xfId="0"/>
    <xf numFmtId="0" fontId="2" fillId="0" borderId="0" xfId="0" applyFont="1"/>
    <xf numFmtId="167" fontId="0" fillId="0" borderId="0" xfId="2" applyNumberFormat="1" applyFont="1"/>
    <xf numFmtId="167" fontId="3" fillId="0" borderId="0" xfId="2" applyNumberFormat="1" applyFont="1"/>
    <xf numFmtId="0" fontId="5" fillId="0" borderId="0" xfId="0" applyFont="1"/>
    <xf numFmtId="167" fontId="3" fillId="2" borderId="1" xfId="2" applyNumberFormat="1" applyFont="1" applyFill="1" applyBorder="1"/>
    <xf numFmtId="167" fontId="3" fillId="0" borderId="2" xfId="2" applyNumberFormat="1" applyFont="1" applyBorder="1"/>
    <xf numFmtId="0" fontId="0" fillId="0" borderId="0" xfId="0" applyAlignment="1"/>
    <xf numFmtId="0" fontId="3" fillId="0" borderId="0" xfId="0" applyFont="1" applyFill="1"/>
    <xf numFmtId="0" fontId="2" fillId="0" borderId="0" xfId="0" applyFont="1" applyFill="1"/>
    <xf numFmtId="167" fontId="3" fillId="0" borderId="0" xfId="0" applyNumberFormat="1" applyFont="1" applyFill="1"/>
    <xf numFmtId="0" fontId="2" fillId="0" borderId="0" xfId="0" applyFont="1" applyFill="1" applyAlignment="1">
      <alignment horizontal="center"/>
    </xf>
    <xf numFmtId="167" fontId="3" fillId="0" borderId="0" xfId="2" applyNumberFormat="1" applyFont="1" applyFill="1"/>
    <xf numFmtId="167" fontId="2" fillId="0" borderId="0" xfId="2" applyNumberFormat="1" applyFont="1" applyFill="1"/>
    <xf numFmtId="166" fontId="3" fillId="0" borderId="0" xfId="0" applyNumberFormat="1" applyFont="1" applyFill="1"/>
    <xf numFmtId="167" fontId="2" fillId="0" borderId="0" xfId="0" applyNumberFormat="1" applyFont="1" applyFill="1"/>
    <xf numFmtId="167" fontId="2" fillId="0" borderId="3" xfId="2" applyNumberFormat="1" applyFont="1" applyFill="1" applyBorder="1"/>
    <xf numFmtId="9" fontId="3" fillId="0" borderId="0" xfId="5" applyFont="1" applyFill="1"/>
    <xf numFmtId="167" fontId="0" fillId="0" borderId="0" xfId="0" applyNumberFormat="1"/>
    <xf numFmtId="9" fontId="0" fillId="0" borderId="0" xfId="5" applyFont="1"/>
    <xf numFmtId="167" fontId="0" fillId="0" borderId="0" xfId="3" applyNumberFormat="1" applyFont="1"/>
    <xf numFmtId="165" fontId="0" fillId="0" borderId="0" xfId="0" applyNumberFormat="1"/>
    <xf numFmtId="169" fontId="3" fillId="0" borderId="0" xfId="0" applyNumberFormat="1" applyFont="1" applyFill="1"/>
    <xf numFmtId="165" fontId="3" fillId="0" borderId="0" xfId="2" applyFont="1" applyFill="1"/>
    <xf numFmtId="165" fontId="3" fillId="0" borderId="0" xfId="0" applyNumberFormat="1" applyFont="1" applyFill="1"/>
    <xf numFmtId="10" fontId="3" fillId="0" borderId="0" xfId="5" applyNumberFormat="1" applyFont="1" applyFill="1"/>
    <xf numFmtId="165" fontId="3" fillId="0" borderId="0" xfId="2" applyNumberFormat="1" applyFont="1" applyFill="1"/>
    <xf numFmtId="0" fontId="3" fillId="0" borderId="0" xfId="0" applyFont="1"/>
    <xf numFmtId="165" fontId="2" fillId="0" borderId="0" xfId="0" applyNumberFormat="1" applyFont="1"/>
    <xf numFmtId="167" fontId="3" fillId="0" borderId="0" xfId="2" applyNumberFormat="1" applyFont="1" applyBorder="1"/>
    <xf numFmtId="167" fontId="0" fillId="0" borderId="0" xfId="2" applyNumberFormat="1" applyFont="1" applyBorder="1"/>
    <xf numFmtId="167" fontId="3" fillId="0" borderId="4" xfId="2" applyNumberFormat="1" applyFont="1" applyBorder="1"/>
    <xf numFmtId="0" fontId="3" fillId="0" borderId="0" xfId="0" applyFont="1" applyFill="1" applyBorder="1"/>
    <xf numFmtId="166" fontId="3" fillId="0" borderId="0" xfId="1" applyFont="1" applyFill="1" applyBorder="1"/>
    <xf numFmtId="166" fontId="2" fillId="0" borderId="0" xfId="1" applyFont="1" applyFill="1" applyBorder="1"/>
    <xf numFmtId="166" fontId="3" fillId="0" borderId="0" xfId="1" applyFont="1" applyBorder="1"/>
    <xf numFmtId="164" fontId="3" fillId="0" borderId="0" xfId="1" applyNumberFormat="1" applyFont="1" applyFill="1" applyBorder="1"/>
    <xf numFmtId="0" fontId="2" fillId="0" borderId="0" xfId="0" applyFont="1" applyFill="1" applyBorder="1"/>
    <xf numFmtId="0" fontId="3" fillId="0" borderId="0" xfId="0" applyFont="1" applyFill="1" applyBorder="1" applyAlignment="1">
      <alignment horizontal="left"/>
    </xf>
    <xf numFmtId="166" fontId="3" fillId="0" borderId="0" xfId="1" applyFont="1" applyFill="1" applyBorder="1" applyAlignment="1">
      <alignment horizontal="left"/>
    </xf>
    <xf numFmtId="0" fontId="3" fillId="0" borderId="0" xfId="0" applyFont="1" applyFill="1" applyBorder="1" applyAlignment="1">
      <alignment wrapText="1"/>
    </xf>
    <xf numFmtId="0" fontId="3" fillId="0" borderId="0" xfId="0" applyFont="1" applyFill="1" applyBorder="1" applyAlignment="1">
      <alignment horizontal="left" vertical="top"/>
    </xf>
    <xf numFmtId="166" fontId="3" fillId="0" borderId="0" xfId="1" applyFont="1" applyFill="1" applyBorder="1" applyAlignment="1">
      <alignment horizontal="left" vertical="top"/>
    </xf>
    <xf numFmtId="166" fontId="3" fillId="0" borderId="0" xfId="1" applyFont="1" applyBorder="1" applyAlignment="1">
      <alignment horizontal="left" vertical="top"/>
    </xf>
    <xf numFmtId="0" fontId="0" fillId="0" borderId="0" xfId="0" applyFill="1"/>
    <xf numFmtId="170" fontId="2" fillId="0" borderId="5" xfId="0" applyNumberFormat="1" applyFont="1" applyFill="1" applyBorder="1"/>
    <xf numFmtId="49" fontId="9" fillId="0" borderId="0" xfId="0" applyNumberFormat="1" applyFont="1" applyFill="1" applyBorder="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168" fontId="11"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0" fontId="9" fillId="0" borderId="0" xfId="0" applyNumberFormat="1" applyFont="1" applyFill="1" applyBorder="1" applyAlignment="1">
      <alignment horizontal="center"/>
    </xf>
    <xf numFmtId="0" fontId="9" fillId="0" borderId="0" xfId="0" applyFont="1" applyFill="1" applyBorder="1" applyAlignment="1">
      <alignment horizontal="center"/>
    </xf>
    <xf numFmtId="164" fontId="10" fillId="0" borderId="0" xfId="0" applyNumberFormat="1" applyFont="1" applyFill="1" applyBorder="1"/>
    <xf numFmtId="0" fontId="0" fillId="0" borderId="6" xfId="0" applyFill="1" applyBorder="1"/>
    <xf numFmtId="0" fontId="0" fillId="0" borderId="7" xfId="0" applyFill="1" applyBorder="1"/>
    <xf numFmtId="0" fontId="0" fillId="0" borderId="0" xfId="0" applyFill="1" applyBorder="1"/>
    <xf numFmtId="164" fontId="2" fillId="0" borderId="0" xfId="0" applyNumberFormat="1" applyFont="1" applyBorder="1"/>
    <xf numFmtId="0" fontId="0" fillId="0" borderId="0" xfId="0" applyBorder="1"/>
    <xf numFmtId="0" fontId="2" fillId="0" borderId="0" xfId="0" applyFont="1" applyBorder="1"/>
    <xf numFmtId="166" fontId="3" fillId="0" borderId="0" xfId="0" applyNumberFormat="1" applyFont="1"/>
    <xf numFmtId="166" fontId="2" fillId="0" borderId="0" xfId="1" applyFont="1" applyFill="1" applyBorder="1" applyAlignment="1">
      <alignment horizontal="left"/>
    </xf>
    <xf numFmtId="0" fontId="15" fillId="0" borderId="0" xfId="0" applyFont="1"/>
    <xf numFmtId="9" fontId="0" fillId="0" borderId="0" xfId="0" quotePrefix="1" applyNumberFormat="1"/>
    <xf numFmtId="170" fontId="9" fillId="3" borderId="6" xfId="0" applyNumberFormat="1" applyFont="1" applyFill="1" applyBorder="1" applyAlignment="1">
      <alignment horizontal="center"/>
    </xf>
    <xf numFmtId="170" fontId="14" fillId="3" borderId="6" xfId="0" applyNumberFormat="1" applyFont="1" applyFill="1" applyBorder="1" applyAlignment="1">
      <alignment horizontal="center"/>
    </xf>
    <xf numFmtId="171" fontId="9" fillId="3" borderId="6" xfId="0" applyNumberFormat="1" applyFont="1" applyFill="1" applyBorder="1" applyAlignment="1">
      <alignment horizontal="center"/>
    </xf>
    <xf numFmtId="1" fontId="14" fillId="3" borderId="6" xfId="0" applyNumberFormat="1" applyFont="1" applyFill="1" applyBorder="1" applyAlignment="1">
      <alignment horizontal="center"/>
    </xf>
    <xf numFmtId="9" fontId="9" fillId="3" borderId="6" xfId="6" applyFont="1" applyFill="1" applyBorder="1" applyAlignment="1">
      <alignment horizontal="center"/>
    </xf>
    <xf numFmtId="0" fontId="11" fillId="0" borderId="0" xfId="0" applyFont="1" applyFill="1" applyBorder="1" applyAlignment="1">
      <alignment horizontal="center"/>
    </xf>
    <xf numFmtId="164" fontId="13" fillId="0" borderId="0" xfId="4" applyNumberFormat="1" applyFont="1" applyFill="1" applyBorder="1" applyAlignment="1">
      <alignment horizontal="center" vertical="center"/>
    </xf>
    <xf numFmtId="170"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164" fontId="2" fillId="0" borderId="0" xfId="0" applyNumberFormat="1" applyFont="1" applyFill="1" applyBorder="1"/>
    <xf numFmtId="10" fontId="2" fillId="0" borderId="0" xfId="0" applyNumberFormat="1" applyFont="1" applyFill="1" applyBorder="1" applyAlignment="1">
      <alignment horizontal="center"/>
    </xf>
    <xf numFmtId="170" fontId="2" fillId="0" borderId="0" xfId="0" applyNumberFormat="1" applyFont="1" applyFill="1" applyBorder="1"/>
    <xf numFmtId="0" fontId="9" fillId="4" borderId="0" xfId="0" applyFont="1" applyFill="1" applyBorder="1" applyAlignment="1">
      <alignment horizontal="center"/>
    </xf>
    <xf numFmtId="0" fontId="2" fillId="4" borderId="0" xfId="0" applyFont="1" applyFill="1" applyBorder="1" applyAlignment="1">
      <alignment horizontal="center"/>
    </xf>
    <xf numFmtId="10" fontId="9" fillId="4" borderId="0" xfId="0" applyNumberFormat="1" applyFont="1" applyFill="1" applyBorder="1" applyAlignment="1">
      <alignment horizontal="center"/>
    </xf>
    <xf numFmtId="170" fontId="9" fillId="4" borderId="0" xfId="0" applyNumberFormat="1" applyFont="1" applyFill="1" applyBorder="1" applyAlignment="1">
      <alignment horizontal="center"/>
    </xf>
    <xf numFmtId="172" fontId="3" fillId="0" borderId="0" xfId="0" applyNumberFormat="1" applyFont="1" applyFill="1"/>
    <xf numFmtId="166" fontId="0" fillId="0" borderId="0" xfId="0" applyNumberFormat="1"/>
    <xf numFmtId="9" fontId="3" fillId="0" borderId="0" xfId="5" applyFont="1"/>
    <xf numFmtId="165" fontId="3" fillId="0" borderId="0" xfId="2" applyFont="1"/>
    <xf numFmtId="167" fontId="3" fillId="0" borderId="0" xfId="0" applyNumberFormat="1" applyFont="1"/>
    <xf numFmtId="10" fontId="3" fillId="0" borderId="0" xfId="5" applyNumberFormat="1" applyFont="1"/>
    <xf numFmtId="167" fontId="2" fillId="4" borderId="0" xfId="0" applyNumberFormat="1" applyFont="1" applyFill="1"/>
    <xf numFmtId="0" fontId="16" fillId="0" borderId="0" xfId="0" applyFont="1"/>
    <xf numFmtId="0" fontId="2" fillId="4" borderId="0" xfId="0" applyFont="1" applyFill="1"/>
    <xf numFmtId="0" fontId="3" fillId="0" borderId="0" xfId="0" applyFont="1" applyAlignment="1">
      <alignment wrapText="1"/>
    </xf>
    <xf numFmtId="0" fontId="4" fillId="0" borderId="0" xfId="0" applyFont="1" applyAlignment="1">
      <alignment horizontal="center"/>
    </xf>
    <xf numFmtId="0" fontId="6" fillId="0" borderId="0" xfId="0" applyFont="1" applyAlignment="1"/>
    <xf numFmtId="0" fontId="4" fillId="0" borderId="0" xfId="0" applyFont="1" applyFill="1" applyAlignment="1">
      <alignment horizontal="center"/>
    </xf>
    <xf numFmtId="0" fontId="2" fillId="0" borderId="0" xfId="0" applyFont="1" applyFill="1" applyAlignment="1">
      <alignment horizontal="center"/>
    </xf>
  </cellXfs>
  <cellStyles count="7">
    <cellStyle name="Comma" xfId="1" builtinId="3"/>
    <cellStyle name="Currency" xfId="2" builtinId="4"/>
    <cellStyle name="Currency 2" xfId="3" xr:uid="{00000000-0005-0000-0000-000002000000}"/>
    <cellStyle name="Currency 3" xfId="4" xr:uid="{00000000-0005-0000-0000-000003000000}"/>
    <cellStyle name="Normal" xfId="0" builtinId="0"/>
    <cellStyle name="Percent" xfId="5" builtinId="5"/>
    <cellStyle name="Percent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
  <sheetViews>
    <sheetView workbookViewId="0">
      <selection activeCell="E13" sqref="E13"/>
    </sheetView>
  </sheetViews>
  <sheetFormatPr defaultRowHeight="12.75" x14ac:dyDescent="0.2"/>
  <cols>
    <col min="2" max="2" width="95.5703125" customWidth="1"/>
  </cols>
  <sheetData>
    <row r="5" spans="2:2" ht="38.25" x14ac:dyDescent="0.2">
      <c r="B5" s="90" t="s">
        <v>207</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
  <sheetViews>
    <sheetView tabSelected="1" zoomScale="115" zoomScaleNormal="115" workbookViewId="0">
      <selection activeCell="F12" sqref="F12"/>
    </sheetView>
  </sheetViews>
  <sheetFormatPr defaultRowHeight="12.75" x14ac:dyDescent="0.2"/>
  <cols>
    <col min="1" max="1" width="29.28515625" customWidth="1"/>
    <col min="2" max="2" width="15" customWidth="1"/>
    <col min="3" max="4" width="15.140625" bestFit="1" customWidth="1"/>
    <col min="5" max="5" width="11.85546875" customWidth="1"/>
    <col min="6" max="6" width="15" bestFit="1" customWidth="1"/>
    <col min="7" max="8" width="12.28515625" bestFit="1" customWidth="1"/>
  </cols>
  <sheetData>
    <row r="1" spans="1:10" ht="18" x14ac:dyDescent="0.25">
      <c r="A1" s="91" t="s">
        <v>206</v>
      </c>
      <c r="B1" s="92"/>
      <c r="C1" s="92"/>
      <c r="D1" s="92"/>
      <c r="E1" s="7"/>
      <c r="F1" s="7"/>
      <c r="G1" s="7"/>
      <c r="H1" s="7"/>
      <c r="I1" s="7"/>
      <c r="J1" s="7"/>
    </row>
    <row r="2" spans="1:10" ht="18" x14ac:dyDescent="0.25">
      <c r="A2" s="91" t="s">
        <v>32</v>
      </c>
      <c r="B2" s="92"/>
      <c r="C2" s="92"/>
      <c r="D2" s="92"/>
      <c r="E2" s="7"/>
      <c r="F2" s="7"/>
      <c r="G2" s="7"/>
      <c r="H2" s="7"/>
      <c r="I2" s="7"/>
      <c r="J2" s="7"/>
    </row>
    <row r="3" spans="1:10" ht="18" x14ac:dyDescent="0.25">
      <c r="A3" s="91" t="s">
        <v>208</v>
      </c>
      <c r="B3" s="92"/>
      <c r="C3" s="92"/>
      <c r="D3" s="92"/>
      <c r="E3" s="7"/>
      <c r="F3" s="7"/>
      <c r="G3" s="7"/>
      <c r="H3" s="7"/>
      <c r="I3" s="7"/>
      <c r="J3" s="7"/>
    </row>
    <row r="5" spans="1:10" x14ac:dyDescent="0.2">
      <c r="A5" s="1" t="s">
        <v>30</v>
      </c>
      <c r="C5" s="2"/>
      <c r="D5" s="2"/>
      <c r="E5" s="2"/>
    </row>
    <row r="6" spans="1:10" x14ac:dyDescent="0.2">
      <c r="A6" s="27" t="s">
        <v>24</v>
      </c>
      <c r="C6" s="2"/>
      <c r="D6" s="30">
        <f>'Project Cashflow'!AC13</f>
        <v>19941.972269661721</v>
      </c>
      <c r="E6" s="3"/>
    </row>
    <row r="7" spans="1:10" x14ac:dyDescent="0.2">
      <c r="A7" s="27" t="str">
        <f>'Project Cashflow'!A16</f>
        <v>Rebates</v>
      </c>
      <c r="C7" s="2"/>
      <c r="D7" s="30">
        <f>'Project Cashflow'!AC16</f>
        <v>0</v>
      </c>
      <c r="E7" s="2"/>
    </row>
    <row r="8" spans="1:10" x14ac:dyDescent="0.2">
      <c r="A8" s="27" t="str">
        <f>'Project Cashflow'!A17</f>
        <v>Rent Received</v>
      </c>
      <c r="C8" s="2"/>
      <c r="D8" s="30">
        <f>'Project Cashflow'!AC17</f>
        <v>16500</v>
      </c>
      <c r="E8" s="3"/>
    </row>
    <row r="9" spans="1:10" x14ac:dyDescent="0.2">
      <c r="A9" t="str">
        <f>'Project Cashflow'!A18</f>
        <v>Sales Revenue</v>
      </c>
      <c r="C9" s="3"/>
      <c r="D9" s="29">
        <f>'Project Cashflow'!AC18</f>
        <v>5350000</v>
      </c>
      <c r="E9" s="3"/>
      <c r="F9" s="21"/>
    </row>
    <row r="10" spans="1:10" x14ac:dyDescent="0.2">
      <c r="A10" t="s">
        <v>137</v>
      </c>
      <c r="C10" s="3"/>
      <c r="D10" s="29">
        <f>-'Project Cashflow'!AC129</f>
        <v>-386363.63636363635</v>
      </c>
      <c r="E10" s="2"/>
      <c r="F10" s="21"/>
    </row>
    <row r="11" spans="1:10" x14ac:dyDescent="0.2">
      <c r="C11" s="3"/>
      <c r="D11" s="29"/>
      <c r="E11" s="2"/>
      <c r="F11" s="21"/>
    </row>
    <row r="12" spans="1:10" ht="13.5" thickBot="1" x14ac:dyDescent="0.25">
      <c r="C12" s="3"/>
      <c r="D12" s="31">
        <f>SUM(D6:D10)</f>
        <v>5000078.335906025</v>
      </c>
      <c r="E12" s="2"/>
      <c r="F12" s="21"/>
    </row>
    <row r="13" spans="1:10" x14ac:dyDescent="0.2">
      <c r="C13" s="3"/>
      <c r="D13" s="3"/>
      <c r="E13" s="2"/>
      <c r="F13" s="21"/>
    </row>
    <row r="14" spans="1:10" x14ac:dyDescent="0.2">
      <c r="A14" s="1" t="s">
        <v>43</v>
      </c>
      <c r="C14" s="3"/>
      <c r="D14" s="3"/>
      <c r="E14" s="2"/>
      <c r="F14" s="21"/>
    </row>
    <row r="15" spans="1:10" x14ac:dyDescent="0.2">
      <c r="A15" s="1"/>
      <c r="C15" s="3"/>
      <c r="D15" s="3"/>
      <c r="E15" s="2"/>
    </row>
    <row r="16" spans="1:10" x14ac:dyDescent="0.2">
      <c r="A16" t="str">
        <f>'Project Cashflow'!A23</f>
        <v>Acquisition Costs</v>
      </c>
      <c r="C16" s="3">
        <f>SUM('Project Cashflow'!AC24:AC27)</f>
        <v>1162500</v>
      </c>
      <c r="D16" s="3"/>
      <c r="E16" s="3"/>
      <c r="F16" s="19"/>
    </row>
    <row r="17" spans="1:6" x14ac:dyDescent="0.2">
      <c r="A17" t="str">
        <f>'Project Cashflow'!A29</f>
        <v>Design and Planning Costs</v>
      </c>
      <c r="C17" s="3">
        <f>SUM('Project Cashflow'!AC30:AC51)</f>
        <v>88830</v>
      </c>
      <c r="D17" s="3"/>
      <c r="E17" s="86"/>
    </row>
    <row r="18" spans="1:6" x14ac:dyDescent="0.2">
      <c r="A18" s="60" t="str">
        <f>'Project Cashflow'!A53</f>
        <v>Contributions and Charges</v>
      </c>
      <c r="C18" s="3">
        <f>SUM('Project Cashflow'!AC54:AC61)-'Project Cashflow'!AC61</f>
        <v>82250</v>
      </c>
      <c r="D18" s="3"/>
      <c r="E18" s="3"/>
      <c r="F18" s="21"/>
    </row>
    <row r="19" spans="1:6" x14ac:dyDescent="0.2">
      <c r="A19" s="60" t="str">
        <f>'Project Cashflow'!A92</f>
        <v>Constructions Costs</v>
      </c>
      <c r="C19" s="3">
        <f>SUM('Project Cashflow'!AC93:AC96)-'Project Cashflow'!AC95</f>
        <v>2056500</v>
      </c>
      <c r="D19" s="3"/>
      <c r="E19" s="3"/>
      <c r="F19" s="21"/>
    </row>
    <row r="20" spans="1:6" x14ac:dyDescent="0.2">
      <c r="A20" s="60" t="str">
        <f>'Project Cashflow'!A77</f>
        <v>Development Management Fees</v>
      </c>
      <c r="C20" s="3">
        <f>'Project Cashflow'!AC77</f>
        <v>176550</v>
      </c>
      <c r="D20" s="3"/>
      <c r="E20" s="3"/>
      <c r="F20" s="21"/>
    </row>
    <row r="21" spans="1:6" x14ac:dyDescent="0.2">
      <c r="A21" s="60" t="str">
        <f>'Project Cashflow'!A95</f>
        <v>Project Management/Supervision</v>
      </c>
      <c r="C21" s="3">
        <f>'Project Cashflow'!AC95</f>
        <v>0</v>
      </c>
      <c r="D21" s="3"/>
      <c r="E21" s="2"/>
      <c r="F21" s="21"/>
    </row>
    <row r="22" spans="1:6" x14ac:dyDescent="0.2">
      <c r="A22" s="27" t="s">
        <v>157</v>
      </c>
      <c r="C22" s="3">
        <f>SUM('Project Cashflow'!AC82:AC90)-C32</f>
        <v>9900</v>
      </c>
      <c r="D22" s="3"/>
      <c r="E22" s="3"/>
      <c r="F22" s="21"/>
    </row>
    <row r="23" spans="1:6" x14ac:dyDescent="0.2">
      <c r="C23" s="3"/>
      <c r="D23" s="3"/>
      <c r="E23" s="2"/>
    </row>
    <row r="24" spans="1:6" x14ac:dyDescent="0.2">
      <c r="A24" s="4" t="s">
        <v>161</v>
      </c>
      <c r="C24" s="3"/>
      <c r="D24" s="6">
        <f>SUM(C16:C22)</f>
        <v>3576530</v>
      </c>
      <c r="E24" s="2"/>
      <c r="F24" s="18"/>
    </row>
    <row r="25" spans="1:6" x14ac:dyDescent="0.2">
      <c r="A25" s="4"/>
      <c r="C25" s="3"/>
      <c r="D25" s="29"/>
      <c r="E25" s="2"/>
      <c r="F25" s="18"/>
    </row>
    <row r="26" spans="1:6" x14ac:dyDescent="0.2">
      <c r="A26" s="4" t="s">
        <v>156</v>
      </c>
      <c r="C26" s="3"/>
      <c r="D26" s="29"/>
      <c r="E26" s="2"/>
      <c r="F26" s="18"/>
    </row>
    <row r="27" spans="1:6" x14ac:dyDescent="0.2">
      <c r="A27" s="27"/>
      <c r="C27" s="3"/>
      <c r="D27" s="3"/>
      <c r="E27" s="19"/>
    </row>
    <row r="28" spans="1:6" x14ac:dyDescent="0.2">
      <c r="A28" s="27" t="str">
        <f>'Project Cashflow'!A71</f>
        <v>Entity Costs</v>
      </c>
      <c r="C28" s="3">
        <f>SUM('Project Cashflow'!AC72:AC79)-'Project Cashflow'!AC77</f>
        <v>59710</v>
      </c>
      <c r="D28" s="3"/>
      <c r="E28" s="3"/>
    </row>
    <row r="29" spans="1:6" x14ac:dyDescent="0.2">
      <c r="A29" s="27" t="str">
        <f>'Project Cashflow'!A98</f>
        <v>Finance Costs</v>
      </c>
      <c r="C29" s="3">
        <f>SUM('Project Cashflow'!AC99:AC105)-'Project Cashflow'!AC102-'Project Cashflow'!AC103</f>
        <v>140054.83767739264</v>
      </c>
      <c r="D29" s="3"/>
      <c r="E29" s="3"/>
    </row>
    <row r="30" spans="1:6" x14ac:dyDescent="0.2">
      <c r="A30" s="27" t="str">
        <f>'Project Cashflow'!A107</f>
        <v>Sales and Marketing Costs</v>
      </c>
      <c r="C30" s="3">
        <f>SUM('Project Cashflow'!AC108:AC119)</f>
        <v>338250</v>
      </c>
      <c r="D30" s="3"/>
      <c r="E30" s="3"/>
    </row>
    <row r="31" spans="1:6" x14ac:dyDescent="0.2">
      <c r="A31" s="27" t="str">
        <f>'Project Cashflow'!A63</f>
        <v>Holding Costs</v>
      </c>
      <c r="C31" s="3">
        <f>SUM('Project Cashflow'!AC64:AC69)</f>
        <v>23426.272000000001</v>
      </c>
      <c r="D31" s="3"/>
      <c r="E31" s="3"/>
    </row>
    <row r="32" spans="1:6" x14ac:dyDescent="0.2">
      <c r="A32" s="27" t="s">
        <v>158</v>
      </c>
      <c r="C32" s="3">
        <f>'Project Cashflow'!AC82+'Project Cashflow'!AC85+'Project Cashflow'!AC86+'Project Cashflow'!AC90</f>
        <v>22750</v>
      </c>
      <c r="D32" s="3"/>
      <c r="E32" s="3"/>
    </row>
    <row r="33" spans="1:7" x14ac:dyDescent="0.2">
      <c r="A33" s="27"/>
      <c r="C33" s="3"/>
      <c r="D33" s="3"/>
    </row>
    <row r="34" spans="1:7" x14ac:dyDescent="0.2">
      <c r="A34" s="4" t="s">
        <v>160</v>
      </c>
      <c r="C34" s="3"/>
      <c r="D34" s="6">
        <f>SUM(C28:C32)</f>
        <v>584191.10967739264</v>
      </c>
    </row>
    <row r="35" spans="1:7" x14ac:dyDescent="0.2">
      <c r="A35" s="27"/>
      <c r="C35" s="3"/>
      <c r="D35" s="3"/>
    </row>
    <row r="36" spans="1:7" x14ac:dyDescent="0.2">
      <c r="A36" s="27" t="s">
        <v>159</v>
      </c>
      <c r="C36" s="3"/>
      <c r="D36" s="3">
        <f>-'Project Cashflow'!AC19</f>
        <v>-259452.01546021595</v>
      </c>
    </row>
    <row r="37" spans="1:7" x14ac:dyDescent="0.2">
      <c r="C37" s="3"/>
      <c r="D37" s="3"/>
    </row>
    <row r="38" spans="1:7" x14ac:dyDescent="0.2">
      <c r="A38" s="1" t="s">
        <v>31</v>
      </c>
      <c r="C38" s="3"/>
      <c r="D38" s="6">
        <f>D24+D34+D36</f>
        <v>3901269.0942171765</v>
      </c>
    </row>
    <row r="39" spans="1:7" x14ac:dyDescent="0.2">
      <c r="C39" s="3"/>
      <c r="D39" s="3"/>
    </row>
    <row r="40" spans="1:7" ht="13.5" thickBot="1" x14ac:dyDescent="0.25">
      <c r="A40" s="1" t="s">
        <v>47</v>
      </c>
      <c r="C40" s="3"/>
      <c r="D40" s="5">
        <f>D12-D38</f>
        <v>1098809.2416888485</v>
      </c>
      <c r="E40" s="18"/>
      <c r="F40" s="18"/>
      <c r="G40" s="27"/>
    </row>
    <row r="41" spans="1:7" ht="13.5" thickTop="1" x14ac:dyDescent="0.2">
      <c r="C41" s="3"/>
      <c r="D41" s="3"/>
      <c r="E41" s="18"/>
    </row>
    <row r="43" spans="1:7" x14ac:dyDescent="0.2">
      <c r="A43" s="1"/>
      <c r="B43" s="28"/>
    </row>
    <row r="44" spans="1:7" x14ac:dyDescent="0.2">
      <c r="A44" s="62" t="s">
        <v>151</v>
      </c>
    </row>
    <row r="45" spans="1:7" x14ac:dyDescent="0.2">
      <c r="A45" s="27" t="s">
        <v>44</v>
      </c>
      <c r="B45" s="83">
        <f>(D12-D24)/D12</f>
        <v>0.28470520665314236</v>
      </c>
      <c r="C45" s="27"/>
      <c r="D45" s="83"/>
    </row>
    <row r="46" spans="1:7" x14ac:dyDescent="0.2">
      <c r="A46" s="27" t="s">
        <v>162</v>
      </c>
      <c r="B46" s="83">
        <f>D40/D12</f>
        <v>0.21975840534301186</v>
      </c>
      <c r="C46" s="27"/>
      <c r="D46" s="83"/>
    </row>
    <row r="47" spans="1:7" x14ac:dyDescent="0.2">
      <c r="A47" s="27" t="s">
        <v>155</v>
      </c>
      <c r="B47" s="83">
        <f>D38/D12</f>
        <v>0.78024159465698817</v>
      </c>
      <c r="C47" s="27"/>
      <c r="D47" s="27"/>
    </row>
    <row r="48" spans="1:7" x14ac:dyDescent="0.2">
      <c r="A48" s="27" t="s">
        <v>147</v>
      </c>
      <c r="B48" s="84">
        <f>'Project Cashflow'!AC14+'Project Cashflow'!AC15</f>
        <v>2487754.8376773926</v>
      </c>
      <c r="C48" s="27"/>
      <c r="D48" s="27"/>
    </row>
    <row r="49" spans="1:6" x14ac:dyDescent="0.2">
      <c r="A49" s="27" t="s">
        <v>150</v>
      </c>
      <c r="B49" s="83">
        <f>B48/(D9+D10)</f>
        <v>0.50119602956870546</v>
      </c>
      <c r="C49" s="27"/>
      <c r="D49" s="27"/>
    </row>
    <row r="50" spans="1:6" x14ac:dyDescent="0.2">
      <c r="A50" s="27" t="s">
        <v>153</v>
      </c>
      <c r="B50" s="83">
        <f>'Project Cashflow'!AC15/('Project Cashflow'!AC24+'Project Cashflow'!AC25)</f>
        <v>0.34095242510456092</v>
      </c>
      <c r="C50" s="27"/>
      <c r="D50" s="27"/>
    </row>
    <row r="51" spans="1:6" x14ac:dyDescent="0.2">
      <c r="A51" s="27" t="s">
        <v>154</v>
      </c>
      <c r="B51" s="83">
        <f>'Project Cashflow'!AC14/'Project Cashflow'!AC93</f>
        <v>1.0356407696384196</v>
      </c>
      <c r="C51" s="27"/>
      <c r="D51" s="27"/>
    </row>
    <row r="52" spans="1:6" x14ac:dyDescent="0.2">
      <c r="A52" s="27"/>
      <c r="B52" s="27"/>
      <c r="C52" s="27"/>
      <c r="D52" s="27"/>
    </row>
    <row r="53" spans="1:6" x14ac:dyDescent="0.2">
      <c r="A53" s="62" t="s">
        <v>152</v>
      </c>
      <c r="B53" s="27"/>
      <c r="C53" s="27"/>
      <c r="D53" s="27"/>
    </row>
    <row r="54" spans="1:6" x14ac:dyDescent="0.2">
      <c r="A54" s="27" t="s">
        <v>148</v>
      </c>
      <c r="B54" s="27">
        <f>'Project Cashflow'!AC12</f>
        <v>1100000</v>
      </c>
      <c r="C54" s="27"/>
      <c r="D54" s="27"/>
    </row>
    <row r="55" spans="1:6" x14ac:dyDescent="0.2">
      <c r="A55" s="27" t="s">
        <v>163</v>
      </c>
      <c r="B55" s="3">
        <f>'Project Cashflow'!AC122</f>
        <v>264000</v>
      </c>
      <c r="C55" s="27"/>
      <c r="D55" s="27"/>
    </row>
    <row r="56" spans="1:6" x14ac:dyDescent="0.2">
      <c r="A56" s="27" t="s">
        <v>164</v>
      </c>
      <c r="B56" s="3">
        <f>'Project Cashflow'!AB126</f>
        <v>393404.62084442395</v>
      </c>
      <c r="C56" s="27"/>
      <c r="D56" s="27"/>
    </row>
    <row r="57" spans="1:6" x14ac:dyDescent="0.2">
      <c r="A57" s="27" t="s">
        <v>149</v>
      </c>
      <c r="B57" s="83">
        <f>(B55+B56)/B54</f>
        <v>0.5976405644040218</v>
      </c>
      <c r="C57" s="83">
        <f>B57*12/26</f>
        <v>0.27583410664801006</v>
      </c>
      <c r="D57" s="27" t="s">
        <v>197</v>
      </c>
      <c r="F57" s="18"/>
    </row>
    <row r="58" spans="1:6" x14ac:dyDescent="0.2">
      <c r="B58" s="27"/>
      <c r="C58" s="27"/>
      <c r="D58" s="27"/>
    </row>
    <row r="59" spans="1:6" x14ac:dyDescent="0.2">
      <c r="A59" s="62" t="s">
        <v>198</v>
      </c>
      <c r="B59" s="27"/>
      <c r="C59" s="27"/>
      <c r="D59" s="27"/>
      <c r="F59" s="18"/>
    </row>
    <row r="60" spans="1:6" x14ac:dyDescent="0.2">
      <c r="A60" s="27" t="s">
        <v>148</v>
      </c>
      <c r="B60" s="3">
        <f>'Project Cashflow'!AC11</f>
        <v>200000</v>
      </c>
      <c r="C60" s="27"/>
      <c r="D60" s="27"/>
    </row>
    <row r="61" spans="1:6" x14ac:dyDescent="0.2">
      <c r="A61" s="27" t="s">
        <v>163</v>
      </c>
      <c r="B61" s="3">
        <f>'Project Cashflow'!AC123</f>
        <v>48000</v>
      </c>
      <c r="C61" s="27"/>
      <c r="D61" s="27"/>
    </row>
    <row r="62" spans="1:6" x14ac:dyDescent="0.2">
      <c r="A62" s="27" t="s">
        <v>164</v>
      </c>
      <c r="B62" s="3">
        <f>'Project Cashflow'!AB127</f>
        <v>393404.62084442395</v>
      </c>
      <c r="C62" s="27"/>
      <c r="D62" s="27"/>
    </row>
    <row r="63" spans="1:6" x14ac:dyDescent="0.2">
      <c r="A63" s="27" t="s">
        <v>149</v>
      </c>
      <c r="B63" s="83">
        <f>(B61+B62)/B60</f>
        <v>2.2070231042221198</v>
      </c>
      <c r="C63" s="83">
        <f>B63*12/26</f>
        <v>1.0186260481025167</v>
      </c>
      <c r="D63" s="27" t="s">
        <v>197</v>
      </c>
    </row>
    <row r="64" spans="1:6" x14ac:dyDescent="0.2">
      <c r="A64" s="82" t="str">
        <f>A20</f>
        <v>Development Management Fees</v>
      </c>
      <c r="B64" s="85">
        <f>C20</f>
        <v>176550</v>
      </c>
      <c r="C64" s="27"/>
      <c r="D64" s="27"/>
    </row>
  </sheetData>
  <mergeCells count="3">
    <mergeCell ref="A1:D1"/>
    <mergeCell ref="A2:D2"/>
    <mergeCell ref="A3:D3"/>
  </mergeCells>
  <phoneticPr fontId="0" type="noConversion"/>
  <pageMargins left="0.52" right="0.42"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48"/>
  <sheetViews>
    <sheetView topLeftCell="Q1" zoomScale="85" zoomScaleNormal="85" workbookViewId="0">
      <selection activeCell="AA129" sqref="AA129"/>
    </sheetView>
  </sheetViews>
  <sheetFormatPr defaultRowHeight="12.75" x14ac:dyDescent="0.2"/>
  <cols>
    <col min="1" max="1" width="48.28515625" style="8" customWidth="1"/>
    <col min="2" max="3" width="11.28515625" style="8" bestFit="1" customWidth="1"/>
    <col min="4" max="4" width="12.28515625" style="8" customWidth="1"/>
    <col min="5" max="5" width="11.28515625" style="8" bestFit="1" customWidth="1"/>
    <col min="6" max="7" width="11.28515625" style="8" customWidth="1"/>
    <col min="8" max="10" width="12.5703125" style="8" bestFit="1" customWidth="1"/>
    <col min="11" max="11" width="14" style="8" bestFit="1" customWidth="1"/>
    <col min="12" max="13" width="14" style="8" customWidth="1"/>
    <col min="14" max="15" width="12.28515625" style="8" bestFit="1" customWidth="1"/>
    <col min="16" max="17" width="13.42578125" style="8" bestFit="1" customWidth="1"/>
    <col min="18" max="18" width="12.28515625" style="8" bestFit="1" customWidth="1"/>
    <col min="19" max="20" width="12.28515625" style="8" customWidth="1"/>
    <col min="21" max="23" width="12.28515625" style="8" bestFit="1" customWidth="1"/>
    <col min="24" max="24" width="14" style="8" bestFit="1" customWidth="1"/>
    <col min="25" max="25" width="12.28515625" style="8" bestFit="1" customWidth="1"/>
    <col min="26" max="27" width="12.28515625" style="8" customWidth="1"/>
    <col min="28" max="28" width="17" style="8" bestFit="1" customWidth="1"/>
    <col min="29" max="29" width="12.28515625" style="8" bestFit="1" customWidth="1"/>
    <col min="30" max="30" width="14" style="8" bestFit="1" customWidth="1"/>
    <col min="31" max="31" width="12.85546875" style="8" bestFit="1" customWidth="1"/>
    <col min="32" max="33" width="12.28515625" style="8" bestFit="1" customWidth="1"/>
    <col min="34" max="16384" width="9.140625" style="8"/>
  </cols>
  <sheetData>
    <row r="1" spans="1:32" ht="18" x14ac:dyDescent="0.25">
      <c r="A1" s="93" t="str">
        <f>'Profit and Loss'!A1:D1</f>
        <v>Project</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row>
    <row r="2" spans="1:32" ht="18" x14ac:dyDescent="0.25">
      <c r="A2" s="93" t="s">
        <v>21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32" ht="18" x14ac:dyDescent="0.25">
      <c r="A3" s="93" t="str">
        <f>'Profit and Loss'!A3:D3</f>
        <v>For the Period 01/07/17 - 31/12/18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row>
    <row r="5" spans="1:32" x14ac:dyDescent="0.2">
      <c r="A5" s="9" t="s">
        <v>7</v>
      </c>
      <c r="B5" s="10">
        <v>0</v>
      </c>
      <c r="C5" s="10">
        <f t="shared" ref="C5:K5" si="0">B133</f>
        <v>1151013.75</v>
      </c>
      <c r="D5" s="10">
        <f t="shared" si="0"/>
        <v>1141324.1953125</v>
      </c>
      <c r="E5" s="10">
        <f t="shared" si="0"/>
        <v>398939.45405273442</v>
      </c>
      <c r="F5" s="10">
        <f t="shared" si="0"/>
        <v>388908.66693049582</v>
      </c>
      <c r="G5" s="10">
        <f t="shared" si="0"/>
        <v>369756.76531646209</v>
      </c>
      <c r="H5" s="10">
        <f t="shared" si="0"/>
        <v>341074.89802182338</v>
      </c>
      <c r="I5" s="10">
        <f t="shared" si="0"/>
        <v>338198.66511253366</v>
      </c>
      <c r="J5" s="10">
        <f t="shared" si="0"/>
        <v>323253.78284941224</v>
      </c>
      <c r="K5" s="10">
        <f t="shared" si="0"/>
        <v>262844.83436959708</v>
      </c>
      <c r="L5" s="10">
        <f t="shared" ref="L5:R5" si="1">K133</f>
        <v>224059.96647737236</v>
      </c>
      <c r="M5" s="10">
        <f t="shared" si="1"/>
        <v>160319.22894724982</v>
      </c>
      <c r="N5" s="10">
        <f t="shared" si="1"/>
        <v>106545.62998847675</v>
      </c>
      <c r="O5" s="10">
        <f t="shared" si="1"/>
        <v>72324.70680236764</v>
      </c>
      <c r="P5" s="10">
        <f t="shared" si="1"/>
        <v>44749.328957084901</v>
      </c>
      <c r="Q5" s="10">
        <f t="shared" si="1"/>
        <v>38291.5009926192</v>
      </c>
      <c r="R5" s="10">
        <f t="shared" si="1"/>
        <v>49569.641091754005</v>
      </c>
      <c r="S5" s="10">
        <f>R133</f>
        <v>39941.641838268319</v>
      </c>
      <c r="T5" s="10">
        <f>S133</f>
        <v>60399.450143980983</v>
      </c>
      <c r="U5" s="10">
        <f>T133</f>
        <v>48568.411568095442</v>
      </c>
      <c r="V5" s="10">
        <f t="shared" ref="V5:AB5" si="2">U133</f>
        <v>104538.74493844912</v>
      </c>
      <c r="W5" s="10">
        <f t="shared" si="2"/>
        <v>94694.529810811335</v>
      </c>
      <c r="X5" s="10">
        <f t="shared" si="2"/>
        <v>112857.01902121608</v>
      </c>
      <c r="Y5" s="10">
        <f t="shared" si="2"/>
        <v>98586.464825686184</v>
      </c>
      <c r="Z5" s="10">
        <f t="shared" si="2"/>
        <v>45696.278845290144</v>
      </c>
      <c r="AA5" s="10">
        <f t="shared" si="2"/>
        <v>2767472.0105400872</v>
      </c>
      <c r="AB5" s="10">
        <f t="shared" si="2"/>
        <v>788217.1226832578</v>
      </c>
    </row>
    <row r="6" spans="1:32" x14ac:dyDescent="0.2">
      <c r="A6" s="9"/>
      <c r="B6" s="94"/>
      <c r="C6" s="94"/>
      <c r="D6" s="94"/>
      <c r="E6" s="94"/>
      <c r="F6" s="94"/>
      <c r="G6" s="94"/>
      <c r="H6" s="94"/>
      <c r="I6" s="94"/>
      <c r="J6" s="94"/>
      <c r="K6" s="94"/>
      <c r="L6" s="11"/>
      <c r="M6" s="11"/>
      <c r="N6" s="11"/>
      <c r="O6" s="11"/>
      <c r="P6" s="94"/>
      <c r="Q6" s="94"/>
      <c r="R6" s="94"/>
      <c r="S6" s="94"/>
      <c r="T6" s="94"/>
      <c r="U6" s="94"/>
      <c r="V6" s="94"/>
      <c r="W6" s="94"/>
      <c r="X6" s="94"/>
      <c r="Y6" s="94"/>
      <c r="Z6" s="94"/>
      <c r="AA6" s="94"/>
      <c r="AB6" s="94"/>
    </row>
    <row r="7" spans="1:32" x14ac:dyDescent="0.2">
      <c r="B7" s="9" t="s">
        <v>16</v>
      </c>
      <c r="C7" s="9" t="s">
        <v>9</v>
      </c>
      <c r="D7" s="9" t="s">
        <v>10</v>
      </c>
      <c r="E7" s="9" t="s">
        <v>11</v>
      </c>
      <c r="F7" s="9" t="s">
        <v>12</v>
      </c>
      <c r="G7" s="9" t="s">
        <v>25</v>
      </c>
      <c r="H7" s="9" t="s">
        <v>13</v>
      </c>
      <c r="I7" s="9" t="s">
        <v>34</v>
      </c>
      <c r="J7" s="9" t="s">
        <v>14</v>
      </c>
      <c r="K7" s="9" t="s">
        <v>28</v>
      </c>
      <c r="L7" s="9" t="s">
        <v>35</v>
      </c>
      <c r="M7" s="9" t="s">
        <v>15</v>
      </c>
      <c r="N7" s="9" t="s">
        <v>16</v>
      </c>
      <c r="O7" s="9" t="s">
        <v>9</v>
      </c>
      <c r="P7" s="9" t="s">
        <v>10</v>
      </c>
      <c r="Q7" s="9" t="s">
        <v>38</v>
      </c>
      <c r="R7" s="9" t="s">
        <v>12</v>
      </c>
      <c r="S7" s="9" t="s">
        <v>25</v>
      </c>
      <c r="T7" s="9" t="s">
        <v>36</v>
      </c>
      <c r="U7" s="9" t="s">
        <v>37</v>
      </c>
      <c r="V7" s="9" t="s">
        <v>14</v>
      </c>
      <c r="W7" s="9" t="s">
        <v>28</v>
      </c>
      <c r="X7" s="9" t="s">
        <v>35</v>
      </c>
      <c r="Y7" s="9" t="s">
        <v>15</v>
      </c>
      <c r="Z7" s="9" t="s">
        <v>16</v>
      </c>
      <c r="AA7" s="9" t="s">
        <v>9</v>
      </c>
      <c r="AB7" s="9" t="s">
        <v>10</v>
      </c>
      <c r="AC7" s="9" t="s">
        <v>17</v>
      </c>
    </row>
    <row r="8" spans="1:32" x14ac:dyDescent="0.2">
      <c r="A8" s="9" t="s">
        <v>5</v>
      </c>
    </row>
    <row r="10" spans="1:32" x14ac:dyDescent="0.2">
      <c r="A10" s="8" t="s">
        <v>54</v>
      </c>
      <c r="AC10" s="13">
        <f>SUM(B10:AB10)</f>
        <v>0</v>
      </c>
    </row>
    <row r="11" spans="1:32" x14ac:dyDescent="0.2">
      <c r="A11" s="8" t="s">
        <v>49</v>
      </c>
      <c r="B11" s="12">
        <v>200000</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3">
        <f t="shared" ref="AC11:AC19" si="3">SUM(B11:AB11)</f>
        <v>200000</v>
      </c>
      <c r="AD11" s="10"/>
      <c r="AE11" s="22"/>
    </row>
    <row r="12" spans="1:32" x14ac:dyDescent="0.2">
      <c r="A12" s="8" t="s">
        <v>48</v>
      </c>
      <c r="B12" s="12">
        <v>1100000</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3">
        <f t="shared" si="3"/>
        <v>1100000</v>
      </c>
      <c r="AD12" s="10"/>
    </row>
    <row r="13" spans="1:32" x14ac:dyDescent="0.2">
      <c r="A13" s="8" t="s">
        <v>55</v>
      </c>
      <c r="B13" s="12"/>
      <c r="C13" s="12">
        <f>C5*0.025/12</f>
        <v>2397.9453125</v>
      </c>
      <c r="D13" s="12">
        <f t="shared" ref="D13:AB13" si="4">D5*0.025/12</f>
        <v>2377.7587402343752</v>
      </c>
      <c r="E13" s="12">
        <f t="shared" si="4"/>
        <v>831.12386260986341</v>
      </c>
      <c r="F13" s="12">
        <f t="shared" si="4"/>
        <v>810.22638943853292</v>
      </c>
      <c r="G13" s="12">
        <f t="shared" si="4"/>
        <v>770.32659440929604</v>
      </c>
      <c r="H13" s="12">
        <f t="shared" si="4"/>
        <v>710.57270421213207</v>
      </c>
      <c r="I13" s="12">
        <f t="shared" si="4"/>
        <v>704.5805523177786</v>
      </c>
      <c r="J13" s="12">
        <f t="shared" si="4"/>
        <v>673.44538093627546</v>
      </c>
      <c r="K13" s="12">
        <f t="shared" si="4"/>
        <v>547.59340493666059</v>
      </c>
      <c r="L13" s="12">
        <f t="shared" si="4"/>
        <v>466.79159682785911</v>
      </c>
      <c r="M13" s="12">
        <f t="shared" si="4"/>
        <v>333.99839364010381</v>
      </c>
      <c r="N13" s="12">
        <f t="shared" si="4"/>
        <v>221.97006247599325</v>
      </c>
      <c r="O13" s="12">
        <f t="shared" si="4"/>
        <v>150.6764725049326</v>
      </c>
      <c r="P13" s="12">
        <f t="shared" si="4"/>
        <v>93.22776866059354</v>
      </c>
      <c r="Q13" s="12">
        <f t="shared" si="4"/>
        <v>79.773960401290012</v>
      </c>
      <c r="R13" s="12">
        <f t="shared" si="4"/>
        <v>103.27008560782086</v>
      </c>
      <c r="S13" s="12">
        <f t="shared" si="4"/>
        <v>83.211753829725666</v>
      </c>
      <c r="T13" s="12">
        <f t="shared" si="4"/>
        <v>125.83218779996038</v>
      </c>
      <c r="U13" s="12">
        <f t="shared" si="4"/>
        <v>101.18419076686551</v>
      </c>
      <c r="V13" s="12">
        <f t="shared" si="4"/>
        <v>217.78905195510234</v>
      </c>
      <c r="W13" s="12">
        <f t="shared" si="4"/>
        <v>197.2802704391903</v>
      </c>
      <c r="X13" s="12">
        <f t="shared" si="4"/>
        <v>235.11878962753352</v>
      </c>
      <c r="Y13" s="12">
        <f t="shared" si="4"/>
        <v>205.38846838684626</v>
      </c>
      <c r="Z13" s="12">
        <f t="shared" si="4"/>
        <v>95.200580927687795</v>
      </c>
      <c r="AA13" s="12">
        <f t="shared" si="4"/>
        <v>5765.566688625182</v>
      </c>
      <c r="AB13" s="12">
        <f t="shared" si="4"/>
        <v>1642.1190055901207</v>
      </c>
      <c r="AC13" s="13">
        <f t="shared" si="3"/>
        <v>19941.972269661721</v>
      </c>
      <c r="AD13" s="10"/>
    </row>
    <row r="14" spans="1:32" x14ac:dyDescent="0.2">
      <c r="A14" s="8" t="s">
        <v>51</v>
      </c>
      <c r="B14" s="12"/>
      <c r="C14" s="12"/>
      <c r="D14" s="12"/>
      <c r="E14" s="12"/>
      <c r="F14" s="12"/>
      <c r="G14" s="12"/>
      <c r="H14" s="12"/>
      <c r="I14" s="12"/>
      <c r="J14" s="12"/>
      <c r="K14" s="12"/>
      <c r="L14" s="12"/>
      <c r="M14" s="12"/>
      <c r="N14" s="12">
        <f>N93+M101</f>
        <v>102000</v>
      </c>
      <c r="O14" s="12">
        <f t="shared" ref="O14:AA14" si="5">O93+N101</f>
        <v>595.00000000000011</v>
      </c>
      <c r="P14" s="12">
        <f t="shared" si="5"/>
        <v>204598.47083333333</v>
      </c>
      <c r="Q14" s="12">
        <f t="shared" si="5"/>
        <v>1791.9619131944446</v>
      </c>
      <c r="R14" s="12">
        <f t="shared" si="5"/>
        <v>307802.41502435476</v>
      </c>
      <c r="S14" s="12">
        <f t="shared" si="5"/>
        <v>3597.9291119968152</v>
      </c>
      <c r="T14" s="12">
        <f t="shared" si="5"/>
        <v>717618.91703181679</v>
      </c>
      <c r="U14" s="12">
        <f t="shared" si="5"/>
        <v>7805.0273811690613</v>
      </c>
      <c r="V14" s="12">
        <f t="shared" si="5"/>
        <v>415850.55670755921</v>
      </c>
      <c r="W14" s="12">
        <f t="shared" si="5"/>
        <v>10276.351621686643</v>
      </c>
      <c r="X14" s="12">
        <f t="shared" si="5"/>
        <v>316336.29700614646</v>
      </c>
      <c r="Y14" s="12">
        <f t="shared" si="5"/>
        <v>12181.592072015672</v>
      </c>
      <c r="Z14" s="12">
        <f t="shared" si="5"/>
        <v>12252.651359102429</v>
      </c>
      <c r="AA14" s="12">
        <f t="shared" si="5"/>
        <v>0</v>
      </c>
      <c r="AB14" s="12"/>
      <c r="AC14" s="13">
        <f t="shared" si="3"/>
        <v>2112707.1700623757</v>
      </c>
      <c r="AD14" s="10"/>
      <c r="AE14" s="10"/>
      <c r="AF14" s="10"/>
    </row>
    <row r="15" spans="1:32" x14ac:dyDescent="0.2">
      <c r="A15" s="8" t="s">
        <v>50</v>
      </c>
      <c r="B15" s="12"/>
      <c r="C15" s="12"/>
      <c r="D15" s="12">
        <f>(D25+B24)*0.3</f>
        <v>330000</v>
      </c>
      <c r="E15" s="12">
        <f>D100</f>
        <v>1925.0000000000002</v>
      </c>
      <c r="F15" s="12">
        <f t="shared" ref="F15:Z15" si="6">E100</f>
        <v>1936.229166666667</v>
      </c>
      <c r="G15" s="12">
        <f t="shared" si="6"/>
        <v>1947.5238368055559</v>
      </c>
      <c r="H15" s="12">
        <f t="shared" si="6"/>
        <v>1958.8843925202548</v>
      </c>
      <c r="I15" s="12">
        <f t="shared" si="6"/>
        <v>1970.3112181432896</v>
      </c>
      <c r="J15" s="12">
        <f t="shared" si="6"/>
        <v>1981.8047002491257</v>
      </c>
      <c r="K15" s="12">
        <f t="shared" si="6"/>
        <v>1993.3652276672456</v>
      </c>
      <c r="L15" s="12">
        <f t="shared" si="6"/>
        <v>2004.9931914953047</v>
      </c>
      <c r="M15" s="12">
        <f t="shared" si="6"/>
        <v>2016.6889851123606</v>
      </c>
      <c r="N15" s="12">
        <f>M100</f>
        <v>2028.4530041921826</v>
      </c>
      <c r="O15" s="12">
        <f t="shared" si="6"/>
        <v>2040.2856467166366</v>
      </c>
      <c r="P15" s="12">
        <f t="shared" si="6"/>
        <v>2052.1873129891505</v>
      </c>
      <c r="Q15" s="12">
        <f t="shared" si="6"/>
        <v>2064.1584056482538</v>
      </c>
      <c r="R15" s="12">
        <f t="shared" si="6"/>
        <v>2076.199329681202</v>
      </c>
      <c r="S15" s="12">
        <f t="shared" si="6"/>
        <v>2088.3104924376753</v>
      </c>
      <c r="T15" s="12">
        <f t="shared" si="6"/>
        <v>2100.4923036435621</v>
      </c>
      <c r="U15" s="12">
        <f t="shared" si="6"/>
        <v>2112.745175414816</v>
      </c>
      <c r="V15" s="12">
        <f t="shared" si="6"/>
        <v>2125.0695222714025</v>
      </c>
      <c r="W15" s="12">
        <f t="shared" si="6"/>
        <v>2137.4657611513189</v>
      </c>
      <c r="X15" s="12">
        <f t="shared" si="6"/>
        <v>2149.9343114247017</v>
      </c>
      <c r="Y15" s="12">
        <f t="shared" si="6"/>
        <v>2162.4755949080127</v>
      </c>
      <c r="Z15" s="12">
        <f t="shared" si="6"/>
        <v>2175.0900358783097</v>
      </c>
      <c r="AA15" s="12"/>
      <c r="AB15" s="12"/>
      <c r="AC15" s="13">
        <f t="shared" si="3"/>
        <v>375047.66761501704</v>
      </c>
      <c r="AD15" s="10"/>
      <c r="AE15" s="10"/>
      <c r="AF15" s="10"/>
    </row>
    <row r="16" spans="1:32" x14ac:dyDescent="0.2">
      <c r="A16" s="8" t="s">
        <v>53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3">
        <f t="shared" si="3"/>
        <v>0</v>
      </c>
      <c r="AD16" s="14"/>
    </row>
    <row r="17" spans="1:33" x14ac:dyDescent="0.2">
      <c r="A17" s="8" t="s">
        <v>52</v>
      </c>
      <c r="B17" s="12"/>
      <c r="C17" s="12"/>
      <c r="D17" s="12"/>
      <c r="E17" s="12">
        <f t="shared" ref="E17:M17" si="7">($B$24+$D$25)*0.02/12</f>
        <v>1833.3333333333333</v>
      </c>
      <c r="F17" s="12">
        <f t="shared" si="7"/>
        <v>1833.3333333333333</v>
      </c>
      <c r="G17" s="12">
        <f t="shared" si="7"/>
        <v>1833.3333333333333</v>
      </c>
      <c r="H17" s="12">
        <f t="shared" si="7"/>
        <v>1833.3333333333333</v>
      </c>
      <c r="I17" s="12">
        <f t="shared" si="7"/>
        <v>1833.3333333333333</v>
      </c>
      <c r="J17" s="12">
        <f t="shared" si="7"/>
        <v>1833.3333333333333</v>
      </c>
      <c r="K17" s="12">
        <f t="shared" si="7"/>
        <v>1833.3333333333333</v>
      </c>
      <c r="L17" s="12">
        <f t="shared" si="7"/>
        <v>1833.3333333333333</v>
      </c>
      <c r="M17" s="12">
        <f t="shared" si="7"/>
        <v>1833.3333333333333</v>
      </c>
      <c r="N17" s="12"/>
      <c r="O17" s="12"/>
      <c r="P17" s="12"/>
      <c r="Q17" s="12"/>
      <c r="R17" s="12"/>
      <c r="S17" s="12"/>
      <c r="T17" s="12"/>
      <c r="U17" s="12"/>
      <c r="V17" s="12"/>
      <c r="W17" s="12"/>
      <c r="X17" s="12"/>
      <c r="Y17" s="12"/>
      <c r="Z17" s="12"/>
      <c r="AA17" s="12"/>
      <c r="AB17" s="12"/>
      <c r="AC17" s="13">
        <f t="shared" si="3"/>
        <v>16500</v>
      </c>
      <c r="AD17" s="14"/>
    </row>
    <row r="18" spans="1:33" x14ac:dyDescent="0.2">
      <c r="A18" s="8" t="s">
        <v>135</v>
      </c>
      <c r="B18" s="12"/>
      <c r="C18" s="12"/>
      <c r="D18" s="12"/>
      <c r="E18" s="12"/>
      <c r="F18" s="12"/>
      <c r="G18" s="12"/>
      <c r="H18" s="12"/>
      <c r="I18" s="12"/>
      <c r="J18" s="12"/>
      <c r="K18" s="12"/>
      <c r="L18" s="12"/>
      <c r="M18" s="12"/>
      <c r="N18" s="12"/>
      <c r="O18" s="12"/>
      <c r="P18" s="12"/>
      <c r="Q18" s="12"/>
      <c r="R18" s="12"/>
      <c r="S18" s="12"/>
      <c r="T18" s="12"/>
      <c r="U18" s="12"/>
      <c r="V18" s="12"/>
      <c r="W18" s="12"/>
      <c r="X18" s="12"/>
      <c r="Y18" s="12"/>
      <c r="Z18" s="12">
        <f>'Sales Schedule'!I12</f>
        <v>5350000</v>
      </c>
      <c r="AA18" s="12"/>
      <c r="AB18" s="12"/>
      <c r="AC18" s="13">
        <f t="shared" si="3"/>
        <v>5350000</v>
      </c>
      <c r="AD18" s="14"/>
    </row>
    <row r="19" spans="1:33" x14ac:dyDescent="0.2">
      <c r="A19" s="8" t="s">
        <v>20</v>
      </c>
      <c r="B19" s="12">
        <v>0</v>
      </c>
      <c r="C19" s="12">
        <f t="shared" ref="C19:AB19" si="8">(SUM(B24:B119)-B100-B103-B102-B74-B75-B64-B67-B69-SUM(B54:B61)-SUM(B24:B26))/11</f>
        <v>4448.75</v>
      </c>
      <c r="D19" s="12">
        <f t="shared" si="8"/>
        <v>1498.75</v>
      </c>
      <c r="E19" s="12">
        <f t="shared" si="8"/>
        <v>1230.5681818181818</v>
      </c>
      <c r="F19" s="12">
        <f t="shared" si="8"/>
        <v>1260.4166666666665</v>
      </c>
      <c r="G19" s="12">
        <f t="shared" si="8"/>
        <v>2090.416666666667</v>
      </c>
      <c r="H19" s="12">
        <f t="shared" si="8"/>
        <v>3005.8712121212116</v>
      </c>
      <c r="I19" s="12">
        <f t="shared" si="8"/>
        <v>760.41666666666674</v>
      </c>
      <c r="J19" s="12">
        <f t="shared" si="8"/>
        <v>760.41666666666674</v>
      </c>
      <c r="K19" s="12">
        <f t="shared" si="8"/>
        <v>5760.416666666667</v>
      </c>
      <c r="L19" s="12">
        <f t="shared" si="8"/>
        <v>4260.416666666667</v>
      </c>
      <c r="M19" s="12">
        <f t="shared" si="8"/>
        <v>6385.4166666666679</v>
      </c>
      <c r="N19" s="12">
        <f t="shared" si="8"/>
        <v>5637.689393939394</v>
      </c>
      <c r="O19" s="12">
        <f t="shared" si="8"/>
        <v>12888.068181818184</v>
      </c>
      <c r="P19" s="12">
        <f t="shared" si="8"/>
        <v>3740.6564393939393</v>
      </c>
      <c r="Q19" s="12">
        <f t="shared" si="8"/>
        <v>19507.110173926769</v>
      </c>
      <c r="R19" s="12">
        <f t="shared" si="8"/>
        <v>912.60591130497698</v>
      </c>
      <c r="S19" s="12">
        <f t="shared" si="8"/>
        <v>28944.016282908804</v>
      </c>
      <c r="T19" s="12">
        <f t="shared" si="8"/>
        <v>1077.7424574378906</v>
      </c>
      <c r="U19" s="12">
        <f t="shared" si="8"/>
        <v>66417.388852833552</v>
      </c>
      <c r="V19" s="12">
        <f t="shared" si="8"/>
        <v>1462.4369734144739</v>
      </c>
      <c r="W19" s="12">
        <f t="shared" si="8"/>
        <v>38823.872874698784</v>
      </c>
      <c r="X19" s="12">
        <f t="shared" si="8"/>
        <v>1688.4133641951346</v>
      </c>
      <c r="Y19" s="12">
        <f t="shared" si="8"/>
        <v>30224.349279274153</v>
      </c>
      <c r="Z19" s="12">
        <f t="shared" si="8"/>
        <v>2312.6273962820387</v>
      </c>
      <c r="AA19" s="12">
        <f t="shared" si="8"/>
        <v>14273.181818181807</v>
      </c>
      <c r="AB19" s="12">
        <f t="shared" si="8"/>
        <v>80</v>
      </c>
      <c r="AC19" s="13">
        <f t="shared" si="3"/>
        <v>259452.01546021595</v>
      </c>
      <c r="AF19" s="10"/>
    </row>
    <row r="20" spans="1:33" s="9" customFormat="1" x14ac:dyDescent="0.2">
      <c r="A20" s="9" t="s">
        <v>18</v>
      </c>
      <c r="B20" s="13">
        <f>SUM(B10:B19)</f>
        <v>1300000</v>
      </c>
      <c r="C20" s="13">
        <f t="shared" ref="C20:AB20" si="9">SUM(C10:C19)</f>
        <v>6846.6953125</v>
      </c>
      <c r="D20" s="13">
        <f t="shared" si="9"/>
        <v>333876.50874023436</v>
      </c>
      <c r="E20" s="13">
        <f t="shared" si="9"/>
        <v>5820.0253777613789</v>
      </c>
      <c r="F20" s="13">
        <f t="shared" si="9"/>
        <v>5840.2055561052002</v>
      </c>
      <c r="G20" s="13">
        <f t="shared" si="9"/>
        <v>6641.6004312148525</v>
      </c>
      <c r="H20" s="13">
        <f t="shared" si="9"/>
        <v>7508.6616421869312</v>
      </c>
      <c r="I20" s="13">
        <f t="shared" si="9"/>
        <v>5268.6417704610685</v>
      </c>
      <c r="J20" s="13">
        <f t="shared" si="9"/>
        <v>5249.0000811854015</v>
      </c>
      <c r="K20" s="13">
        <f t="shared" si="9"/>
        <v>10134.708632603906</v>
      </c>
      <c r="L20" s="13">
        <f t="shared" si="9"/>
        <v>8565.5347883231643</v>
      </c>
      <c r="M20" s="13">
        <f t="shared" si="9"/>
        <v>10569.437378752466</v>
      </c>
      <c r="N20" s="13">
        <f t="shared" si="9"/>
        <v>109888.11246060756</v>
      </c>
      <c r="O20" s="13">
        <f t="shared" si="9"/>
        <v>15674.030301039753</v>
      </c>
      <c r="P20" s="13">
        <f t="shared" si="9"/>
        <v>210484.54235437699</v>
      </c>
      <c r="Q20" s="13">
        <f t="shared" si="9"/>
        <v>23443.004453170757</v>
      </c>
      <c r="R20" s="13">
        <f t="shared" si="9"/>
        <v>310894.49035094882</v>
      </c>
      <c r="S20" s="13">
        <f t="shared" si="9"/>
        <v>34713.467641173018</v>
      </c>
      <c r="T20" s="13">
        <f t="shared" si="9"/>
        <v>720922.98398069828</v>
      </c>
      <c r="U20" s="13">
        <f t="shared" si="9"/>
        <v>76436.345600184301</v>
      </c>
      <c r="V20" s="13">
        <f t="shared" si="9"/>
        <v>419655.85225520021</v>
      </c>
      <c r="W20" s="13">
        <f t="shared" si="9"/>
        <v>51434.970527975936</v>
      </c>
      <c r="X20" s="13">
        <f t="shared" si="9"/>
        <v>320409.76347139379</v>
      </c>
      <c r="Y20" s="13">
        <f t="shared" si="9"/>
        <v>44773.805414584684</v>
      </c>
      <c r="Z20" s="13">
        <f t="shared" si="9"/>
        <v>5366835.5693721902</v>
      </c>
      <c r="AA20" s="13">
        <f t="shared" si="9"/>
        <v>20038.748506806987</v>
      </c>
      <c r="AB20" s="13">
        <f t="shared" si="9"/>
        <v>1722.1190055901207</v>
      </c>
      <c r="AC20" s="13">
        <f>SUM(AC10:AC19)</f>
        <v>9433648.8254072703</v>
      </c>
      <c r="AF20" s="15"/>
    </row>
    <row r="21" spans="1:33" x14ac:dyDescent="0.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3"/>
      <c r="AF21" s="10"/>
      <c r="AG21" s="10"/>
    </row>
    <row r="22" spans="1:33" x14ac:dyDescent="0.2">
      <c r="A22" s="9" t="s">
        <v>6</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3"/>
      <c r="AG22" s="10"/>
    </row>
    <row r="23" spans="1:33" x14ac:dyDescent="0.2">
      <c r="A23" s="9" t="s">
        <v>66</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3"/>
      <c r="AD23" s="25"/>
      <c r="AG23" s="17"/>
    </row>
    <row r="24" spans="1:33" x14ac:dyDescent="0.2">
      <c r="A24" s="8" t="s">
        <v>76</v>
      </c>
      <c r="B24" s="12">
        <v>100000</v>
      </c>
      <c r="C24" s="12"/>
      <c r="D24" s="12"/>
      <c r="E24" s="12"/>
      <c r="F24" s="12"/>
      <c r="G24" s="12"/>
      <c r="H24" s="12"/>
      <c r="I24" s="12"/>
      <c r="J24" s="12"/>
      <c r="K24" s="12"/>
      <c r="L24" s="12"/>
      <c r="M24" s="12"/>
      <c r="N24" s="12"/>
      <c r="O24" s="12"/>
      <c r="P24" s="12"/>
      <c r="Q24" s="12"/>
      <c r="U24" s="12"/>
      <c r="V24" s="12"/>
      <c r="W24" s="12"/>
      <c r="X24" s="12"/>
      <c r="Y24" s="12"/>
      <c r="Z24" s="12"/>
      <c r="AA24" s="12"/>
      <c r="AB24" s="12"/>
      <c r="AC24" s="13">
        <f t="shared" ref="AC24:AC27" si="10">SUM(B24:AB24)</f>
        <v>100000</v>
      </c>
      <c r="AD24" s="10"/>
    </row>
    <row r="25" spans="1:33" x14ac:dyDescent="0.2">
      <c r="A25" s="8" t="s">
        <v>77</v>
      </c>
      <c r="B25" s="12"/>
      <c r="C25" s="12"/>
      <c r="D25" s="10">
        <v>1000000</v>
      </c>
      <c r="E25" s="12"/>
      <c r="F25" s="12"/>
      <c r="G25" s="12"/>
      <c r="H25" s="10"/>
      <c r="I25" s="12"/>
      <c r="J25" s="12"/>
      <c r="K25" s="12"/>
      <c r="L25" s="12"/>
      <c r="M25" s="12"/>
      <c r="N25" s="12"/>
      <c r="O25" s="12"/>
      <c r="P25" s="12"/>
      <c r="Q25" s="12"/>
      <c r="R25" s="12"/>
      <c r="S25" s="12"/>
      <c r="T25" s="12"/>
      <c r="U25" s="12"/>
      <c r="V25" s="12"/>
      <c r="W25" s="12"/>
      <c r="X25" s="12"/>
      <c r="Y25" s="12"/>
      <c r="Z25" s="12"/>
      <c r="AA25" s="12"/>
      <c r="AB25" s="12"/>
      <c r="AC25" s="13">
        <f t="shared" si="10"/>
        <v>1000000</v>
      </c>
      <c r="AD25" s="10"/>
    </row>
    <row r="26" spans="1:33" x14ac:dyDescent="0.2">
      <c r="A26" s="8" t="s">
        <v>0</v>
      </c>
      <c r="B26" s="12"/>
      <c r="C26" s="12"/>
      <c r="D26" s="12">
        <f>(D25+B24)*0.055</f>
        <v>60500</v>
      </c>
      <c r="E26" s="12"/>
      <c r="F26" s="12"/>
      <c r="G26" s="12"/>
      <c r="H26" s="10"/>
      <c r="I26" s="12"/>
      <c r="J26" s="12"/>
      <c r="K26" s="12"/>
      <c r="L26" s="12"/>
      <c r="M26" s="12"/>
      <c r="N26" s="12"/>
      <c r="O26" s="12"/>
      <c r="P26" s="12"/>
      <c r="Q26" s="12"/>
      <c r="R26" s="12"/>
      <c r="S26" s="12"/>
      <c r="T26" s="12"/>
      <c r="U26" s="12"/>
      <c r="V26" s="12"/>
      <c r="W26" s="12"/>
      <c r="X26" s="12"/>
      <c r="Y26" s="12"/>
      <c r="Z26" s="12"/>
      <c r="AA26" s="12"/>
      <c r="AB26" s="12"/>
      <c r="AC26" s="13">
        <f t="shared" si="10"/>
        <v>60500</v>
      </c>
    </row>
    <row r="27" spans="1:33" x14ac:dyDescent="0.2">
      <c r="A27" s="8" t="s">
        <v>46</v>
      </c>
      <c r="B27" s="12"/>
      <c r="C27" s="12"/>
      <c r="D27" s="12">
        <v>2000</v>
      </c>
      <c r="E27" s="12"/>
      <c r="F27" s="12"/>
      <c r="G27" s="12"/>
      <c r="H27" s="10"/>
      <c r="I27" s="12"/>
      <c r="J27" s="12"/>
      <c r="K27" s="12"/>
      <c r="L27" s="12"/>
      <c r="M27" s="12"/>
      <c r="N27" s="12"/>
      <c r="O27" s="12"/>
      <c r="P27" s="12"/>
      <c r="Q27" s="12"/>
      <c r="R27" s="12"/>
      <c r="S27" s="12"/>
      <c r="T27" s="12"/>
      <c r="U27" s="12"/>
      <c r="V27" s="12"/>
      <c r="W27" s="12"/>
      <c r="X27" s="12"/>
      <c r="Y27" s="12"/>
      <c r="Z27" s="12"/>
      <c r="AA27" s="12"/>
      <c r="AB27" s="12"/>
      <c r="AC27" s="13">
        <f t="shared" si="10"/>
        <v>2000</v>
      </c>
    </row>
    <row r="28" spans="1:33" x14ac:dyDescent="0.2">
      <c r="B28" s="12"/>
      <c r="C28" s="12"/>
      <c r="D28" s="12"/>
      <c r="E28" s="12"/>
      <c r="F28" s="12"/>
      <c r="G28" s="12"/>
      <c r="H28" s="10"/>
      <c r="I28" s="12"/>
      <c r="J28" s="12"/>
      <c r="K28" s="12"/>
      <c r="L28" s="12"/>
      <c r="M28" s="12"/>
      <c r="N28" s="12"/>
      <c r="O28" s="12"/>
      <c r="P28" s="12"/>
      <c r="Q28" s="12"/>
      <c r="R28" s="12"/>
      <c r="S28" s="12"/>
      <c r="T28" s="12"/>
      <c r="U28" s="12"/>
      <c r="V28" s="12"/>
      <c r="W28" s="12"/>
      <c r="X28" s="12"/>
      <c r="Y28" s="12"/>
      <c r="Z28" s="12"/>
      <c r="AA28" s="12"/>
      <c r="AB28" s="12"/>
      <c r="AC28" s="13"/>
    </row>
    <row r="29" spans="1:33" x14ac:dyDescent="0.2">
      <c r="A29" s="9" t="s">
        <v>56</v>
      </c>
      <c r="M29" s="10"/>
      <c r="Y29" s="12"/>
      <c r="Z29" s="12"/>
      <c r="AA29" s="12"/>
      <c r="AC29" s="13"/>
    </row>
    <row r="30" spans="1:33" x14ac:dyDescent="0.2">
      <c r="A30" s="42" t="s">
        <v>57</v>
      </c>
      <c r="B30" s="12"/>
      <c r="C30" s="12"/>
      <c r="D30" s="12"/>
      <c r="E30" s="12"/>
      <c r="F30" s="12"/>
      <c r="G30" s="12">
        <v>2750</v>
      </c>
      <c r="H30" s="12"/>
      <c r="I30" s="12"/>
      <c r="J30" s="12"/>
      <c r="K30" s="12"/>
      <c r="L30" s="12"/>
      <c r="M30" s="12"/>
      <c r="N30" s="12"/>
      <c r="O30" s="12"/>
      <c r="P30" s="12"/>
      <c r="Q30" s="12"/>
      <c r="R30" s="12"/>
      <c r="S30" s="12"/>
      <c r="T30" s="12"/>
      <c r="U30" s="12"/>
      <c r="V30" s="12"/>
      <c r="X30" s="12"/>
      <c r="Y30" s="12"/>
      <c r="Z30" s="12"/>
      <c r="AA30" s="12"/>
      <c r="AB30" s="12"/>
      <c r="AC30" s="13">
        <f t="shared" ref="AC30:AC51" si="11">SUM(B30:AB30)</f>
        <v>2750</v>
      </c>
    </row>
    <row r="31" spans="1:33" x14ac:dyDescent="0.2">
      <c r="A31" s="42" t="s">
        <v>65</v>
      </c>
      <c r="B31" s="12"/>
      <c r="C31" s="12"/>
      <c r="D31" s="12"/>
      <c r="E31" s="12"/>
      <c r="F31" s="12"/>
      <c r="G31" s="12"/>
      <c r="H31" s="12"/>
      <c r="I31" s="12"/>
      <c r="J31" s="12"/>
      <c r="K31" s="12"/>
      <c r="L31" s="12"/>
      <c r="M31" s="12"/>
      <c r="N31" s="12"/>
      <c r="O31" s="12"/>
      <c r="P31" s="12"/>
      <c r="Q31" s="12"/>
      <c r="R31" s="12"/>
      <c r="S31" s="12"/>
      <c r="T31" s="12"/>
      <c r="U31" s="12"/>
      <c r="V31" s="12"/>
      <c r="X31" s="12"/>
      <c r="Y31" s="12"/>
      <c r="Z31" s="12"/>
      <c r="AA31" s="12"/>
      <c r="AB31" s="12"/>
      <c r="AC31" s="13">
        <f t="shared" si="11"/>
        <v>0</v>
      </c>
    </row>
    <row r="32" spans="1:33" x14ac:dyDescent="0.2">
      <c r="A32" s="42" t="s">
        <v>64</v>
      </c>
      <c r="B32" s="12"/>
      <c r="C32" s="12"/>
      <c r="D32" s="12"/>
      <c r="E32" s="12"/>
      <c r="F32" s="12">
        <v>5500</v>
      </c>
      <c r="G32" s="12">
        <f>5500</f>
        <v>5500</v>
      </c>
      <c r="H32" s="12"/>
      <c r="I32" s="12"/>
      <c r="J32" s="12"/>
      <c r="K32" s="12"/>
      <c r="L32" s="12">
        <v>5500</v>
      </c>
      <c r="M32" s="12"/>
      <c r="N32" s="12"/>
      <c r="O32" s="12"/>
      <c r="P32" s="12"/>
      <c r="Q32" s="12"/>
      <c r="R32" s="12"/>
      <c r="S32" s="12"/>
      <c r="T32" s="12"/>
      <c r="U32" s="12"/>
      <c r="V32" s="12"/>
      <c r="X32" s="12"/>
      <c r="Y32" s="12"/>
      <c r="Z32" s="12"/>
      <c r="AA32" s="12"/>
      <c r="AB32" s="12"/>
      <c r="AC32" s="13">
        <f t="shared" si="11"/>
        <v>16500</v>
      </c>
    </row>
    <row r="33" spans="1:29" x14ac:dyDescent="0.2">
      <c r="A33" s="42" t="s">
        <v>69</v>
      </c>
      <c r="B33" s="12"/>
      <c r="C33" s="12"/>
      <c r="D33" s="12"/>
      <c r="E33" s="12"/>
      <c r="F33" s="12"/>
      <c r="G33" s="12">
        <v>2200</v>
      </c>
      <c r="H33" s="12"/>
      <c r="I33" s="12"/>
      <c r="J33" s="12"/>
      <c r="K33" s="12"/>
      <c r="L33" s="12"/>
      <c r="M33" s="12"/>
      <c r="N33" s="12"/>
      <c r="O33" s="12"/>
      <c r="P33" s="12"/>
      <c r="Q33" s="12"/>
      <c r="R33" s="12"/>
      <c r="S33" s="12"/>
      <c r="T33" s="12"/>
      <c r="U33" s="12"/>
      <c r="V33" s="12"/>
      <c r="X33" s="12"/>
      <c r="Y33" s="12"/>
      <c r="Z33" s="12"/>
      <c r="AA33" s="12"/>
      <c r="AB33" s="12"/>
      <c r="AC33" s="13">
        <f t="shared" si="11"/>
        <v>2200</v>
      </c>
    </row>
    <row r="34" spans="1:29" x14ac:dyDescent="0.2">
      <c r="A34" s="42" t="s">
        <v>62</v>
      </c>
      <c r="B34" s="12"/>
      <c r="C34" s="12"/>
      <c r="D34" s="12"/>
      <c r="E34" s="12"/>
      <c r="F34" s="12"/>
      <c r="G34" s="12"/>
      <c r="H34" s="12"/>
      <c r="I34" s="12"/>
      <c r="J34" s="12"/>
      <c r="K34" s="12"/>
      <c r="L34" s="12"/>
      <c r="M34" s="12"/>
      <c r="N34" s="12"/>
      <c r="O34" s="12"/>
      <c r="P34" s="12"/>
      <c r="Q34" s="12"/>
      <c r="R34" s="12"/>
      <c r="S34" s="12"/>
      <c r="T34" s="12"/>
      <c r="U34" s="12"/>
      <c r="V34" s="12"/>
      <c r="X34" s="12"/>
      <c r="Y34" s="12"/>
      <c r="Z34" s="12"/>
      <c r="AA34" s="12"/>
      <c r="AB34" s="12"/>
      <c r="AC34" s="13">
        <f t="shared" si="11"/>
        <v>0</v>
      </c>
    </row>
    <row r="35" spans="1:29" x14ac:dyDescent="0.2">
      <c r="A35" s="42" t="s">
        <v>70</v>
      </c>
      <c r="B35" s="12"/>
      <c r="C35" s="12"/>
      <c r="D35" s="12"/>
      <c r="E35" s="12"/>
      <c r="F35" s="12"/>
      <c r="G35" s="12"/>
      <c r="H35" s="12"/>
      <c r="I35" s="12"/>
      <c r="J35" s="12"/>
      <c r="K35" s="12"/>
      <c r="L35" s="12">
        <f>25000*1.1</f>
        <v>27500.000000000004</v>
      </c>
      <c r="M35" s="12"/>
      <c r="N35" s="12"/>
      <c r="O35" s="12"/>
      <c r="P35" s="12"/>
      <c r="Q35" s="12"/>
      <c r="R35" s="12"/>
      <c r="S35" s="12"/>
      <c r="T35" s="12"/>
      <c r="U35" s="12"/>
      <c r="V35" s="12"/>
      <c r="X35" s="12"/>
      <c r="Y35" s="12"/>
      <c r="Z35" s="12"/>
      <c r="AA35" s="12"/>
      <c r="AB35" s="12"/>
      <c r="AC35" s="13">
        <f t="shared" si="11"/>
        <v>27500.000000000004</v>
      </c>
    </row>
    <row r="36" spans="1:29" x14ac:dyDescent="0.2">
      <c r="A36" s="42" t="s">
        <v>110</v>
      </c>
      <c r="B36" s="12"/>
      <c r="C36" s="12"/>
      <c r="D36" s="12"/>
      <c r="E36" s="12"/>
      <c r="F36" s="12"/>
      <c r="G36" s="12"/>
      <c r="H36" s="10"/>
      <c r="I36" s="12"/>
      <c r="J36" s="12"/>
      <c r="K36" s="12"/>
      <c r="L36" s="12"/>
      <c r="M36" s="12"/>
      <c r="N36" s="12"/>
      <c r="O36" s="12"/>
      <c r="P36" s="12"/>
      <c r="Q36" s="12"/>
      <c r="R36" s="12"/>
      <c r="S36" s="12"/>
      <c r="T36" s="12"/>
      <c r="U36" s="12"/>
      <c r="V36" s="12"/>
      <c r="W36" s="12"/>
      <c r="X36" s="12"/>
      <c r="Y36" s="12"/>
      <c r="Z36" s="12"/>
      <c r="AA36" s="12"/>
      <c r="AB36" s="12"/>
      <c r="AC36" s="13">
        <f t="shared" si="11"/>
        <v>0</v>
      </c>
    </row>
    <row r="37" spans="1:29" x14ac:dyDescent="0.2">
      <c r="A37" s="43" t="s">
        <v>68</v>
      </c>
      <c r="B37" s="12"/>
      <c r="C37" s="12"/>
      <c r="D37" s="12"/>
      <c r="E37" s="12"/>
      <c r="F37" s="12"/>
      <c r="G37" s="12">
        <f>350*6</f>
        <v>2100</v>
      </c>
      <c r="H37" s="10"/>
      <c r="I37" s="12"/>
      <c r="J37" s="12"/>
      <c r="K37" s="12"/>
      <c r="L37" s="12"/>
      <c r="M37" s="12"/>
      <c r="N37" s="12"/>
      <c r="O37" s="12"/>
      <c r="P37" s="12"/>
      <c r="Q37" s="12"/>
      <c r="R37" s="12"/>
      <c r="S37" s="12"/>
      <c r="T37" s="12"/>
      <c r="U37" s="12"/>
      <c r="V37" s="12"/>
      <c r="W37" s="12"/>
      <c r="X37" s="12"/>
      <c r="Y37" s="12"/>
      <c r="Z37" s="12"/>
      <c r="AA37" s="12"/>
      <c r="AB37" s="12"/>
      <c r="AC37" s="13">
        <f t="shared" si="11"/>
        <v>2100</v>
      </c>
    </row>
    <row r="38" spans="1:29" x14ac:dyDescent="0.2">
      <c r="A38" s="43" t="s">
        <v>67</v>
      </c>
      <c r="B38" s="12"/>
      <c r="C38" s="12"/>
      <c r="D38" s="12"/>
      <c r="E38" s="12"/>
      <c r="F38" s="12"/>
      <c r="G38" s="12"/>
      <c r="H38" s="10"/>
      <c r="I38" s="12"/>
      <c r="J38" s="12"/>
      <c r="K38" s="12"/>
      <c r="L38" s="12"/>
      <c r="M38" s="12"/>
      <c r="N38" s="12"/>
      <c r="O38" s="12"/>
      <c r="P38" s="12"/>
      <c r="Q38" s="12"/>
      <c r="R38" s="12"/>
      <c r="S38" s="12"/>
      <c r="T38" s="12"/>
      <c r="U38" s="12"/>
      <c r="V38" s="12"/>
      <c r="W38" s="12"/>
      <c r="X38" s="12"/>
      <c r="Y38" s="12"/>
      <c r="Z38" s="12"/>
      <c r="AA38" s="12"/>
      <c r="AB38" s="12"/>
      <c r="AC38" s="13">
        <f t="shared" si="11"/>
        <v>0</v>
      </c>
    </row>
    <row r="39" spans="1:29" x14ac:dyDescent="0.2">
      <c r="A39" s="42" t="s">
        <v>61</v>
      </c>
      <c r="B39" s="12"/>
      <c r="C39" s="12"/>
      <c r="D39" s="12"/>
      <c r="E39" s="12"/>
      <c r="F39" s="12"/>
      <c r="G39" s="12"/>
      <c r="H39" s="10"/>
      <c r="I39" s="12"/>
      <c r="J39" s="12"/>
      <c r="K39" s="12"/>
      <c r="L39" s="12"/>
      <c r="M39" s="12"/>
      <c r="N39" s="12"/>
      <c r="O39" s="12"/>
      <c r="P39" s="12"/>
      <c r="Q39" s="12"/>
      <c r="R39" s="12"/>
      <c r="S39" s="12"/>
      <c r="T39" s="12"/>
      <c r="U39" s="12"/>
      <c r="V39" s="12"/>
      <c r="W39" s="12"/>
      <c r="X39" s="12"/>
      <c r="Y39" s="12"/>
      <c r="Z39" s="12"/>
      <c r="AA39" s="12"/>
      <c r="AB39" s="12"/>
      <c r="AC39" s="13">
        <f t="shared" si="11"/>
        <v>0</v>
      </c>
    </row>
    <row r="40" spans="1:29" x14ac:dyDescent="0.2">
      <c r="A40" s="42" t="s">
        <v>112</v>
      </c>
      <c r="B40" s="12"/>
      <c r="C40" s="12"/>
      <c r="D40" s="12"/>
      <c r="E40" s="12"/>
      <c r="F40" s="12"/>
      <c r="G40" s="12"/>
      <c r="H40" s="10"/>
      <c r="I40" s="12"/>
      <c r="J40" s="12"/>
      <c r="K40" s="12"/>
      <c r="L40" s="12"/>
      <c r="M40" s="12"/>
      <c r="N40" s="12"/>
      <c r="O40" s="12"/>
      <c r="P40" s="12"/>
      <c r="Q40" s="12"/>
      <c r="R40" s="12"/>
      <c r="S40" s="12"/>
      <c r="T40" s="12"/>
      <c r="U40" s="12"/>
      <c r="V40" s="12"/>
      <c r="W40" s="12"/>
      <c r="X40" s="12"/>
      <c r="Y40" s="12"/>
      <c r="Z40" s="12"/>
      <c r="AA40" s="12"/>
      <c r="AB40" s="12"/>
      <c r="AC40" s="13">
        <f t="shared" si="11"/>
        <v>0</v>
      </c>
    </row>
    <row r="41" spans="1:29" x14ac:dyDescent="0.2">
      <c r="A41" s="42" t="s">
        <v>81</v>
      </c>
      <c r="B41" s="12"/>
      <c r="C41" s="12"/>
      <c r="D41" s="12"/>
      <c r="E41" s="12"/>
      <c r="F41" s="12">
        <f>800+80</f>
        <v>880</v>
      </c>
      <c r="G41" s="12"/>
      <c r="H41" s="10"/>
      <c r="I41" s="12"/>
      <c r="J41" s="12"/>
      <c r="K41" s="12"/>
      <c r="L41" s="12"/>
      <c r="M41" s="12"/>
      <c r="N41" s="12"/>
      <c r="O41" s="12"/>
      <c r="P41" s="12"/>
      <c r="Q41" s="12"/>
      <c r="R41" s="12"/>
      <c r="S41" s="12"/>
      <c r="T41" s="12"/>
      <c r="U41" s="12"/>
      <c r="V41" s="12"/>
      <c r="W41" s="12"/>
      <c r="X41" s="12"/>
      <c r="Y41" s="12"/>
      <c r="Z41" s="12"/>
      <c r="AA41" s="12"/>
      <c r="AB41" s="12"/>
      <c r="AC41" s="13">
        <f t="shared" si="11"/>
        <v>880</v>
      </c>
    </row>
    <row r="42" spans="1:29" x14ac:dyDescent="0.2">
      <c r="A42" s="42" t="s">
        <v>109</v>
      </c>
      <c r="B42" s="12"/>
      <c r="C42" s="12"/>
      <c r="D42" s="12"/>
      <c r="E42" s="12"/>
      <c r="F42" s="12"/>
      <c r="G42" s="12"/>
      <c r="H42" s="10"/>
      <c r="I42" s="12"/>
      <c r="J42" s="12"/>
      <c r="K42" s="12"/>
      <c r="L42" s="12"/>
      <c r="M42" s="12"/>
      <c r="N42" s="12"/>
      <c r="O42" s="12"/>
      <c r="P42" s="12"/>
      <c r="Q42" s="12"/>
      <c r="R42" s="12"/>
      <c r="S42" s="12"/>
      <c r="T42" s="12"/>
      <c r="U42" s="12"/>
      <c r="V42" s="12"/>
      <c r="W42" s="12"/>
      <c r="X42" s="12"/>
      <c r="Y42" s="12"/>
      <c r="Z42" s="12"/>
      <c r="AA42" s="12"/>
      <c r="AB42" s="12"/>
      <c r="AC42" s="13">
        <f t="shared" si="11"/>
        <v>0</v>
      </c>
    </row>
    <row r="43" spans="1:29" x14ac:dyDescent="0.2">
      <c r="A43" s="42" t="s">
        <v>192</v>
      </c>
      <c r="B43" s="12"/>
      <c r="C43" s="12"/>
      <c r="D43" s="12"/>
      <c r="E43" s="12"/>
      <c r="F43" s="12"/>
      <c r="G43" s="12"/>
      <c r="H43" s="10"/>
      <c r="I43" s="12"/>
      <c r="J43" s="12"/>
      <c r="K43" s="12"/>
      <c r="L43" s="12"/>
      <c r="M43" s="12"/>
      <c r="N43" s="12"/>
      <c r="O43" s="12"/>
      <c r="P43" s="12"/>
      <c r="Q43" s="12"/>
      <c r="R43" s="12"/>
      <c r="S43" s="12"/>
      <c r="T43" s="12"/>
      <c r="U43" s="12"/>
      <c r="V43" s="12"/>
      <c r="W43" s="12"/>
      <c r="X43" s="12"/>
      <c r="Y43" s="12"/>
      <c r="Z43" s="12"/>
      <c r="AA43" s="12"/>
      <c r="AB43" s="12"/>
      <c r="AC43" s="13">
        <f t="shared" si="11"/>
        <v>0</v>
      </c>
    </row>
    <row r="44" spans="1:29" x14ac:dyDescent="0.2">
      <c r="A44" s="42" t="s">
        <v>58</v>
      </c>
      <c r="B44" s="12"/>
      <c r="C44" s="12"/>
      <c r="D44" s="12"/>
      <c r="E44" s="12"/>
      <c r="F44" s="12"/>
      <c r="G44" s="12">
        <f>2500+250</f>
        <v>2750</v>
      </c>
      <c r="H44" s="10"/>
      <c r="I44" s="12"/>
      <c r="J44" s="12"/>
      <c r="K44" s="12"/>
      <c r="L44" s="12"/>
      <c r="M44" s="12"/>
      <c r="N44" s="12"/>
      <c r="O44" s="12"/>
      <c r="P44" s="12"/>
      <c r="Q44" s="12"/>
      <c r="R44" s="12"/>
      <c r="S44" s="12"/>
      <c r="T44" s="12"/>
      <c r="U44" s="12"/>
      <c r="V44" s="12"/>
      <c r="W44" s="12"/>
      <c r="X44" s="12"/>
      <c r="Y44" s="12"/>
      <c r="Z44" s="12"/>
      <c r="AA44" s="12"/>
      <c r="AB44" s="12"/>
      <c r="AC44" s="13">
        <f t="shared" si="11"/>
        <v>2750</v>
      </c>
    </row>
    <row r="45" spans="1:29" x14ac:dyDescent="0.2">
      <c r="A45" s="42" t="s">
        <v>189</v>
      </c>
      <c r="B45" s="12"/>
      <c r="C45" s="12"/>
      <c r="D45" s="12"/>
      <c r="E45" s="12"/>
      <c r="F45" s="12">
        <f>550*5</f>
        <v>2750</v>
      </c>
      <c r="G45" s="12"/>
      <c r="H45" s="10"/>
      <c r="I45" s="12"/>
      <c r="J45" s="12"/>
      <c r="K45" s="12"/>
      <c r="L45" s="12"/>
      <c r="M45" s="12"/>
      <c r="N45" s="12"/>
      <c r="O45" s="12"/>
      <c r="P45" s="12"/>
      <c r="Q45" s="12"/>
      <c r="R45" s="12"/>
      <c r="S45" s="12"/>
      <c r="T45" s="12"/>
      <c r="U45" s="12"/>
      <c r="V45" s="12"/>
      <c r="W45" s="12"/>
      <c r="X45" s="12">
        <v>5500</v>
      </c>
      <c r="Y45" s="12"/>
      <c r="Z45" s="12"/>
      <c r="AA45" s="12"/>
      <c r="AB45" s="12"/>
      <c r="AC45" s="13">
        <f t="shared" si="11"/>
        <v>8250</v>
      </c>
    </row>
    <row r="46" spans="1:29" x14ac:dyDescent="0.2">
      <c r="A46" s="42" t="s">
        <v>111</v>
      </c>
      <c r="B46" s="12"/>
      <c r="C46" s="12"/>
      <c r="D46" s="12"/>
      <c r="E46" s="12"/>
      <c r="F46" s="12"/>
      <c r="G46" s="12"/>
      <c r="H46" s="10"/>
      <c r="I46" s="12"/>
      <c r="J46" s="12"/>
      <c r="K46" s="12"/>
      <c r="L46" s="12"/>
      <c r="M46" s="12"/>
      <c r="N46" s="12"/>
      <c r="O46" s="12"/>
      <c r="P46" s="12"/>
      <c r="Q46" s="12"/>
      <c r="R46" s="12"/>
      <c r="S46" s="12"/>
      <c r="T46" s="12"/>
      <c r="U46" s="12"/>
      <c r="V46" s="12"/>
      <c r="W46" s="12"/>
      <c r="X46" s="12"/>
      <c r="Y46" s="12"/>
      <c r="Z46" s="12"/>
      <c r="AA46" s="12"/>
      <c r="AB46" s="12"/>
      <c r="AC46" s="13">
        <f t="shared" si="11"/>
        <v>0</v>
      </c>
    </row>
    <row r="47" spans="1:29" x14ac:dyDescent="0.2">
      <c r="A47" s="42" t="s">
        <v>71</v>
      </c>
      <c r="B47" s="12"/>
      <c r="C47" s="12"/>
      <c r="D47" s="12"/>
      <c r="E47" s="12"/>
      <c r="F47" s="12"/>
      <c r="G47" s="12">
        <f>2500+250</f>
        <v>2750</v>
      </c>
      <c r="H47" s="10"/>
      <c r="I47" s="12"/>
      <c r="J47" s="12"/>
      <c r="K47" s="12"/>
      <c r="L47" s="12"/>
      <c r="M47" s="12"/>
      <c r="N47" s="12"/>
      <c r="O47" s="12"/>
      <c r="P47" s="12"/>
      <c r="Q47" s="12"/>
      <c r="R47" s="12"/>
      <c r="S47" s="12"/>
      <c r="T47" s="12"/>
      <c r="U47" s="12"/>
      <c r="V47" s="12"/>
      <c r="W47" s="12"/>
      <c r="X47" s="12"/>
      <c r="Y47" s="12"/>
      <c r="Z47" s="12"/>
      <c r="AA47" s="12"/>
      <c r="AB47" s="12"/>
      <c r="AC47" s="13">
        <f t="shared" si="11"/>
        <v>2750</v>
      </c>
    </row>
    <row r="48" spans="1:29" x14ac:dyDescent="0.2">
      <c r="A48" s="42" t="s">
        <v>60</v>
      </c>
      <c r="B48" s="12"/>
      <c r="C48" s="12"/>
      <c r="D48" s="12"/>
      <c r="E48" s="12"/>
      <c r="F48" s="12"/>
      <c r="G48" s="12">
        <v>1150</v>
      </c>
      <c r="H48" s="10"/>
      <c r="I48" s="12"/>
      <c r="J48" s="12"/>
      <c r="K48" s="12"/>
      <c r="L48" s="12"/>
      <c r="M48" s="12"/>
      <c r="N48" s="12"/>
      <c r="O48" s="12"/>
      <c r="P48" s="12"/>
      <c r="Q48" s="12"/>
      <c r="R48" s="12"/>
      <c r="S48" s="12"/>
      <c r="T48" s="12"/>
      <c r="U48" s="12"/>
      <c r="V48" s="12"/>
      <c r="W48" s="12"/>
      <c r="X48" s="12"/>
      <c r="Y48" s="12"/>
      <c r="Z48" s="12"/>
      <c r="AA48" s="12"/>
      <c r="AB48" s="12"/>
      <c r="AC48" s="13">
        <f t="shared" si="11"/>
        <v>1150</v>
      </c>
    </row>
    <row r="49" spans="1:29" x14ac:dyDescent="0.2">
      <c r="A49" s="41" t="s">
        <v>59</v>
      </c>
      <c r="B49" s="12"/>
      <c r="C49" s="12"/>
      <c r="D49" s="12"/>
      <c r="E49" s="12">
        <v>5500</v>
      </c>
      <c r="F49" s="12">
        <v>5500</v>
      </c>
      <c r="G49" s="12">
        <v>5500</v>
      </c>
      <c r="H49" s="10"/>
      <c r="I49" s="12"/>
      <c r="J49" s="12">
        <v>5500</v>
      </c>
      <c r="K49" s="12"/>
      <c r="L49" s="12"/>
      <c r="M49" s="12"/>
      <c r="N49" s="12"/>
      <c r="O49" s="12"/>
      <c r="P49" s="12"/>
      <c r="Q49" s="12"/>
      <c r="R49" s="12"/>
      <c r="S49" s="12"/>
      <c r="T49" s="12"/>
      <c r="U49" s="12"/>
      <c r="V49" s="12"/>
      <c r="W49" s="12"/>
      <c r="X49" s="12"/>
      <c r="Y49" s="12"/>
      <c r="Z49" s="12"/>
      <c r="AA49" s="12"/>
      <c r="AB49" s="12"/>
      <c r="AC49" s="13">
        <f t="shared" si="11"/>
        <v>22000</v>
      </c>
    </row>
    <row r="50" spans="1:29" x14ac:dyDescent="0.2">
      <c r="A50" s="43" t="s">
        <v>63</v>
      </c>
      <c r="B50" s="12"/>
      <c r="C50" s="12"/>
      <c r="D50" s="12"/>
      <c r="E50" s="12"/>
      <c r="F50" s="12"/>
      <c r="G50" s="12"/>
      <c r="H50" s="10"/>
      <c r="I50" s="12"/>
      <c r="J50" s="12"/>
      <c r="K50" s="12"/>
      <c r="L50" s="12"/>
      <c r="M50" s="12"/>
      <c r="N50" s="12"/>
      <c r="O50" s="12"/>
      <c r="P50" s="12"/>
      <c r="Q50" s="12"/>
      <c r="R50" s="12"/>
      <c r="S50" s="12"/>
      <c r="T50" s="12"/>
      <c r="U50" s="12"/>
      <c r="V50" s="12"/>
      <c r="W50" s="12"/>
      <c r="X50" s="12"/>
      <c r="Y50" s="12"/>
      <c r="Z50" s="12"/>
      <c r="AA50" s="12"/>
      <c r="AB50" s="12"/>
      <c r="AC50" s="13">
        <f t="shared" si="11"/>
        <v>0</v>
      </c>
    </row>
    <row r="51" spans="1:29" x14ac:dyDescent="0.2">
      <c r="A51" s="42" t="s">
        <v>113</v>
      </c>
      <c r="B51" s="12"/>
      <c r="C51" s="12"/>
      <c r="D51" s="12"/>
      <c r="E51" s="12"/>
      <c r="F51" s="12"/>
      <c r="G51" s="12"/>
      <c r="H51" s="10"/>
      <c r="I51" s="12"/>
      <c r="J51" s="12"/>
      <c r="K51" s="12"/>
      <c r="L51" s="12"/>
      <c r="M51" s="12"/>
      <c r="N51" s="12"/>
      <c r="O51" s="12"/>
      <c r="P51" s="12"/>
      <c r="Q51" s="12"/>
      <c r="R51" s="12"/>
      <c r="S51" s="12"/>
      <c r="T51" s="12"/>
      <c r="U51" s="12"/>
      <c r="V51" s="12"/>
      <c r="W51" s="12"/>
      <c r="X51" s="12"/>
      <c r="Y51" s="12"/>
      <c r="Z51" s="12"/>
      <c r="AA51" s="12"/>
      <c r="AB51" s="12"/>
      <c r="AC51" s="13">
        <f t="shared" si="11"/>
        <v>0</v>
      </c>
    </row>
    <row r="52" spans="1:29" x14ac:dyDescent="0.2">
      <c r="A52" s="33"/>
      <c r="B52" s="12"/>
      <c r="C52" s="12"/>
      <c r="D52" s="12"/>
      <c r="E52" s="12"/>
      <c r="F52" s="12"/>
      <c r="G52" s="12"/>
      <c r="H52" s="10"/>
      <c r="I52" s="12"/>
      <c r="J52" s="12"/>
      <c r="K52" s="12"/>
      <c r="L52" s="12"/>
      <c r="M52" s="12"/>
      <c r="N52" s="12"/>
      <c r="O52" s="12"/>
      <c r="P52" s="12"/>
      <c r="Q52" s="12"/>
      <c r="R52" s="12"/>
      <c r="S52" s="12"/>
      <c r="T52" s="12"/>
      <c r="U52" s="12"/>
      <c r="V52" s="12"/>
      <c r="W52" s="12"/>
      <c r="X52" s="12"/>
      <c r="Y52" s="12"/>
      <c r="Z52" s="12"/>
      <c r="AA52" s="12"/>
      <c r="AB52" s="12"/>
      <c r="AC52" s="13"/>
    </row>
    <row r="53" spans="1:29" x14ac:dyDescent="0.2">
      <c r="A53" s="34" t="s">
        <v>72</v>
      </c>
      <c r="B53" s="12"/>
      <c r="C53" s="12"/>
      <c r="D53" s="12"/>
      <c r="E53" s="12"/>
      <c r="F53" s="12"/>
      <c r="G53" s="12"/>
      <c r="H53" s="10"/>
      <c r="I53" s="12"/>
      <c r="J53" s="12"/>
      <c r="K53" s="12"/>
      <c r="L53" s="12"/>
      <c r="M53" s="12"/>
      <c r="N53" s="12"/>
      <c r="O53" s="12"/>
      <c r="P53" s="12"/>
      <c r="Q53" s="12"/>
      <c r="R53" s="12"/>
      <c r="S53" s="12"/>
      <c r="T53" s="12"/>
      <c r="U53" s="12"/>
      <c r="V53" s="12"/>
      <c r="W53" s="12"/>
      <c r="X53" s="12"/>
      <c r="Y53" s="12"/>
      <c r="Z53" s="12"/>
      <c r="AA53" s="12"/>
      <c r="AB53" s="12"/>
      <c r="AC53" s="13"/>
    </row>
    <row r="54" spans="1:29" x14ac:dyDescent="0.2">
      <c r="A54" s="35" t="s">
        <v>88</v>
      </c>
      <c r="B54" s="12"/>
      <c r="C54" s="12"/>
      <c r="D54" s="12"/>
      <c r="E54" s="12"/>
      <c r="F54" s="12"/>
      <c r="G54" s="12"/>
      <c r="H54" s="10"/>
      <c r="I54" s="12"/>
      <c r="J54" s="12"/>
      <c r="K54" s="12"/>
      <c r="L54" s="12"/>
      <c r="M54" s="12"/>
      <c r="N54" s="12"/>
      <c r="O54" s="12"/>
      <c r="P54" s="12"/>
      <c r="Q54" s="12"/>
      <c r="R54" s="12"/>
      <c r="S54" s="12"/>
      <c r="T54" s="12"/>
      <c r="U54" s="12"/>
      <c r="V54" s="12"/>
      <c r="W54" s="12"/>
      <c r="X54" s="12"/>
      <c r="Y54" s="12">
        <v>1000</v>
      </c>
      <c r="AA54" s="12"/>
      <c r="AB54" s="12"/>
      <c r="AC54" s="13">
        <f t="shared" ref="AC54:AC61" si="12">SUM(B54:AB54)</f>
        <v>1000</v>
      </c>
    </row>
    <row r="55" spans="1:29" x14ac:dyDescent="0.2">
      <c r="A55" s="35" t="s">
        <v>75</v>
      </c>
      <c r="B55" s="12"/>
      <c r="C55" s="12"/>
      <c r="D55" s="12"/>
      <c r="E55" s="12"/>
      <c r="F55" s="12"/>
      <c r="G55" s="12"/>
      <c r="H55" s="10"/>
      <c r="I55" s="12"/>
      <c r="J55" s="12"/>
      <c r="K55" s="12"/>
      <c r="L55" s="12"/>
      <c r="M55" s="12"/>
      <c r="N55" s="12"/>
      <c r="O55" s="12"/>
      <c r="P55" s="12"/>
      <c r="Q55" s="12"/>
      <c r="R55" s="12"/>
      <c r="S55" s="12"/>
      <c r="T55" s="12"/>
      <c r="U55" s="12"/>
      <c r="V55" s="12"/>
      <c r="W55" s="12"/>
      <c r="X55" s="12"/>
      <c r="Y55" s="12">
        <f>(B24+D25)*1.25*0.05</f>
        <v>68750</v>
      </c>
      <c r="AA55" s="12"/>
      <c r="AB55" s="12"/>
      <c r="AC55" s="13">
        <f t="shared" si="12"/>
        <v>68750</v>
      </c>
    </row>
    <row r="56" spans="1:29" x14ac:dyDescent="0.2">
      <c r="A56" s="35" t="s">
        <v>166</v>
      </c>
      <c r="B56" s="12"/>
      <c r="C56" s="12"/>
      <c r="D56" s="12"/>
      <c r="E56" s="12"/>
      <c r="F56" s="12"/>
      <c r="G56" s="12"/>
      <c r="H56" s="10"/>
      <c r="I56" s="12"/>
      <c r="J56" s="12"/>
      <c r="K56" s="12"/>
      <c r="L56" s="12"/>
      <c r="M56" s="12"/>
      <c r="N56" s="12"/>
      <c r="O56" s="12"/>
      <c r="P56" s="12"/>
      <c r="Q56" s="12"/>
      <c r="R56" s="12"/>
      <c r="S56" s="12"/>
      <c r="T56" s="12"/>
      <c r="U56" s="12"/>
      <c r="V56" s="12"/>
      <c r="W56" s="12"/>
      <c r="X56" s="12"/>
      <c r="Y56" s="12"/>
      <c r="Z56" s="12"/>
      <c r="AA56" s="12"/>
      <c r="AB56" s="12"/>
      <c r="AC56" s="13">
        <f t="shared" si="12"/>
        <v>0</v>
      </c>
    </row>
    <row r="57" spans="1:29" x14ac:dyDescent="0.2">
      <c r="A57" s="35" t="s">
        <v>167</v>
      </c>
      <c r="B57" s="12"/>
      <c r="C57" s="12"/>
      <c r="D57" s="12"/>
      <c r="E57" s="12"/>
      <c r="F57" s="12"/>
      <c r="G57" s="12"/>
      <c r="H57" s="10"/>
      <c r="I57" s="12"/>
      <c r="J57" s="12"/>
      <c r="K57" s="12"/>
      <c r="L57" s="12"/>
      <c r="M57" s="12"/>
      <c r="N57" s="12"/>
      <c r="O57" s="12"/>
      <c r="P57" s="12"/>
      <c r="Q57" s="12"/>
      <c r="R57" s="12"/>
      <c r="S57" s="12"/>
      <c r="T57" s="12"/>
      <c r="U57" s="12"/>
      <c r="V57" s="12"/>
      <c r="W57" s="12"/>
      <c r="X57" s="12"/>
      <c r="Y57" s="12"/>
      <c r="Z57" s="12"/>
      <c r="AA57" s="12"/>
      <c r="AB57" s="12"/>
      <c r="AC57" s="13">
        <f t="shared" si="12"/>
        <v>0</v>
      </c>
    </row>
    <row r="58" spans="1:29" x14ac:dyDescent="0.2">
      <c r="A58" s="35" t="s">
        <v>190</v>
      </c>
      <c r="B58" s="12"/>
      <c r="C58" s="12"/>
      <c r="D58" s="12"/>
      <c r="E58" s="12"/>
      <c r="F58" s="12"/>
      <c r="G58" s="12"/>
      <c r="H58" s="10"/>
      <c r="I58" s="12"/>
      <c r="J58" s="12"/>
      <c r="K58" s="12"/>
      <c r="L58" s="12"/>
      <c r="M58" s="12"/>
      <c r="N58" s="12"/>
      <c r="O58" s="12"/>
      <c r="P58" s="12"/>
      <c r="Q58" s="12"/>
      <c r="R58" s="12"/>
      <c r="S58" s="12"/>
      <c r="T58" s="12"/>
      <c r="U58" s="12"/>
      <c r="V58" s="12"/>
      <c r="W58" s="12">
        <f>2500*5</f>
        <v>12500</v>
      </c>
      <c r="X58" s="12"/>
      <c r="Y58" s="12"/>
      <c r="Z58" s="12"/>
      <c r="AA58" s="12"/>
      <c r="AB58" s="12"/>
      <c r="AC58" s="13">
        <f t="shared" si="12"/>
        <v>12500</v>
      </c>
    </row>
    <row r="59" spans="1:29" x14ac:dyDescent="0.2">
      <c r="A59" s="36" t="s">
        <v>73</v>
      </c>
      <c r="B59" s="12"/>
      <c r="C59" s="12"/>
      <c r="D59" s="12"/>
      <c r="E59" s="12"/>
      <c r="F59" s="12"/>
      <c r="G59" s="12"/>
      <c r="H59" s="10"/>
      <c r="I59" s="12"/>
      <c r="J59" s="12"/>
      <c r="K59" s="12"/>
      <c r="L59" s="12"/>
      <c r="M59" s="12"/>
      <c r="N59" s="12"/>
      <c r="O59" s="12"/>
      <c r="P59" s="12"/>
      <c r="Q59" s="12"/>
      <c r="R59" s="12"/>
      <c r="S59" s="12"/>
      <c r="T59" s="12"/>
      <c r="U59" s="12"/>
      <c r="V59" s="12"/>
      <c r="W59" s="12"/>
      <c r="X59" s="12"/>
      <c r="Y59" s="12"/>
      <c r="Z59" s="12"/>
      <c r="AA59" s="12"/>
      <c r="AB59" s="12"/>
      <c r="AC59" s="13">
        <f t="shared" si="12"/>
        <v>0</v>
      </c>
    </row>
    <row r="60" spans="1:29" x14ac:dyDescent="0.2">
      <c r="A60" s="35" t="s">
        <v>74</v>
      </c>
      <c r="B60" s="12"/>
      <c r="C60" s="12"/>
      <c r="D60" s="12"/>
      <c r="E60" s="12"/>
      <c r="F60" s="12"/>
      <c r="G60" s="12"/>
      <c r="H60" s="10"/>
      <c r="I60" s="12"/>
      <c r="J60" s="12"/>
      <c r="K60" s="12"/>
      <c r="L60" s="12"/>
      <c r="M60" s="12"/>
      <c r="N60" s="12"/>
      <c r="O60" s="12"/>
      <c r="P60" s="12"/>
      <c r="Q60" s="12"/>
      <c r="R60" s="12"/>
      <c r="S60" s="12"/>
      <c r="T60" s="12"/>
      <c r="U60" s="12"/>
      <c r="V60" s="12"/>
      <c r="W60" s="12"/>
      <c r="X60" s="12"/>
      <c r="Y60" s="12"/>
      <c r="Z60" s="12"/>
      <c r="AA60" s="12"/>
      <c r="AB60" s="12"/>
      <c r="AC60" s="13">
        <f t="shared" si="12"/>
        <v>0</v>
      </c>
    </row>
    <row r="61" spans="1:29" x14ac:dyDescent="0.2">
      <c r="A61" s="35" t="s">
        <v>136</v>
      </c>
      <c r="B61" s="12"/>
      <c r="C61" s="12"/>
      <c r="D61" s="12"/>
      <c r="E61" s="12"/>
      <c r="F61" s="12"/>
      <c r="G61" s="12"/>
      <c r="H61" s="10"/>
      <c r="I61" s="12"/>
      <c r="J61" s="12"/>
      <c r="K61" s="12"/>
      <c r="L61" s="12"/>
      <c r="M61" s="12"/>
      <c r="N61" s="12"/>
      <c r="O61" s="12"/>
      <c r="P61" s="12"/>
      <c r="Q61" s="12"/>
      <c r="R61" s="12"/>
      <c r="S61" s="12"/>
      <c r="T61" s="12"/>
      <c r="U61" s="12"/>
      <c r="V61" s="12"/>
      <c r="W61" s="12"/>
      <c r="X61" s="12"/>
      <c r="Y61" s="12"/>
      <c r="Z61" s="12"/>
      <c r="AA61" s="12"/>
      <c r="AB61" s="12"/>
      <c r="AC61" s="13">
        <f t="shared" si="12"/>
        <v>0</v>
      </c>
    </row>
    <row r="62" spans="1:29" x14ac:dyDescent="0.2">
      <c r="A62" s="32"/>
      <c r="B62" s="12"/>
      <c r="C62" s="12"/>
      <c r="D62" s="12"/>
      <c r="E62" s="12"/>
      <c r="F62" s="12"/>
      <c r="G62" s="12"/>
      <c r="H62" s="12"/>
      <c r="I62" s="12"/>
      <c r="J62" s="12"/>
      <c r="K62" s="12"/>
      <c r="L62" s="12"/>
      <c r="M62" s="12"/>
      <c r="N62" s="12"/>
      <c r="O62" s="12"/>
      <c r="P62" s="12"/>
      <c r="Q62" s="12"/>
      <c r="R62" s="12"/>
      <c r="S62" s="12"/>
      <c r="T62" s="12"/>
      <c r="U62" s="12"/>
      <c r="V62" s="12"/>
      <c r="X62" s="12"/>
      <c r="Y62" s="12"/>
      <c r="Z62" s="12"/>
      <c r="AA62" s="12"/>
      <c r="AB62" s="12"/>
      <c r="AC62" s="13"/>
    </row>
    <row r="63" spans="1:29" x14ac:dyDescent="0.2">
      <c r="A63" s="37" t="s">
        <v>78</v>
      </c>
      <c r="B63" s="12"/>
      <c r="C63" s="12"/>
      <c r="D63" s="12"/>
      <c r="E63" s="12"/>
      <c r="F63" s="12"/>
      <c r="G63" s="12"/>
      <c r="H63" s="12"/>
      <c r="I63" s="12"/>
      <c r="J63" s="12"/>
      <c r="K63" s="12"/>
      <c r="L63" s="12"/>
      <c r="M63" s="12"/>
      <c r="N63" s="12"/>
      <c r="O63" s="12"/>
      <c r="P63" s="12"/>
      <c r="Q63" s="12"/>
      <c r="R63" s="12"/>
      <c r="S63" s="12"/>
      <c r="T63" s="12"/>
      <c r="U63" s="12"/>
      <c r="V63" s="12"/>
      <c r="X63" s="12"/>
      <c r="Y63" s="12"/>
      <c r="Z63" s="12"/>
      <c r="AA63" s="12"/>
      <c r="AB63" s="12"/>
      <c r="AC63" s="13"/>
    </row>
    <row r="64" spans="1:29" x14ac:dyDescent="0.2">
      <c r="A64" s="8" t="s">
        <v>188</v>
      </c>
      <c r="B64" s="12"/>
      <c r="C64" s="12"/>
      <c r="D64" s="12"/>
      <c r="E64" s="12"/>
      <c r="F64" s="12"/>
      <c r="G64" s="12"/>
      <c r="H64" s="12"/>
      <c r="I64" s="12">
        <f>($B$24+$D$25)*0.00200376</f>
        <v>2204.136</v>
      </c>
      <c r="J64" s="12"/>
      <c r="K64" s="12"/>
      <c r="L64" s="12"/>
      <c r="M64" s="12"/>
      <c r="N64" s="12"/>
      <c r="O64" s="12"/>
      <c r="P64" s="12"/>
      <c r="Q64" s="12"/>
      <c r="R64" s="12"/>
      <c r="S64" s="12"/>
      <c r="T64" s="12"/>
      <c r="U64" s="12">
        <f>($B$24+$D$25)*0.00200376</f>
        <v>2204.136</v>
      </c>
      <c r="V64" s="12"/>
      <c r="W64" s="12"/>
      <c r="X64" s="12"/>
      <c r="Y64" s="12"/>
      <c r="Z64" s="12"/>
      <c r="AA64" s="12"/>
      <c r="AB64" s="12"/>
      <c r="AC64" s="13">
        <f t="shared" ref="AC64:AC69" si="13">SUM(B64:AB64)</f>
        <v>4408.2719999999999</v>
      </c>
    </row>
    <row r="65" spans="1:30" x14ac:dyDescent="0.2">
      <c r="A65" s="33" t="s">
        <v>92</v>
      </c>
      <c r="B65" s="12">
        <f t="shared" ref="B65:M65" si="14">B17*0.07</f>
        <v>0</v>
      </c>
      <c r="C65" s="12">
        <f t="shared" si="14"/>
        <v>0</v>
      </c>
      <c r="D65" s="12">
        <f t="shared" si="14"/>
        <v>0</v>
      </c>
      <c r="E65" s="12">
        <f t="shared" si="14"/>
        <v>128.33333333333334</v>
      </c>
      <c r="F65" s="12">
        <f t="shared" si="14"/>
        <v>128.33333333333334</v>
      </c>
      <c r="G65" s="12">
        <f t="shared" si="14"/>
        <v>128.33333333333334</v>
      </c>
      <c r="H65" s="12">
        <f t="shared" si="14"/>
        <v>128.33333333333334</v>
      </c>
      <c r="I65" s="12">
        <f t="shared" si="14"/>
        <v>128.33333333333334</v>
      </c>
      <c r="J65" s="12">
        <f t="shared" si="14"/>
        <v>128.33333333333334</v>
      </c>
      <c r="K65" s="12">
        <f t="shared" si="14"/>
        <v>128.33333333333334</v>
      </c>
      <c r="L65" s="12">
        <f t="shared" si="14"/>
        <v>128.33333333333334</v>
      </c>
      <c r="M65" s="12">
        <f t="shared" si="14"/>
        <v>128.33333333333334</v>
      </c>
      <c r="N65" s="12"/>
      <c r="O65" s="12"/>
      <c r="P65" s="12"/>
      <c r="Q65" s="12"/>
      <c r="R65" s="12"/>
      <c r="S65" s="12"/>
      <c r="T65" s="12"/>
      <c r="U65" s="12"/>
      <c r="V65" s="12"/>
      <c r="W65" s="12"/>
      <c r="X65" s="12"/>
      <c r="Y65" s="12"/>
      <c r="Z65" s="12"/>
      <c r="AA65" s="12"/>
      <c r="AB65" s="12"/>
      <c r="AC65" s="13">
        <f t="shared" si="13"/>
        <v>1155</v>
      </c>
    </row>
    <row r="66" spans="1:30" x14ac:dyDescent="0.2">
      <c r="A66" s="32" t="s">
        <v>105</v>
      </c>
      <c r="B66" s="12">
        <v>2750</v>
      </c>
      <c r="C66" s="12"/>
      <c r="D66" s="12"/>
      <c r="E66" s="12"/>
      <c r="F66" s="12"/>
      <c r="G66" s="12"/>
      <c r="H66" s="12"/>
      <c r="I66" s="12"/>
      <c r="J66" s="12"/>
      <c r="K66" s="12"/>
      <c r="L66" s="12"/>
      <c r="M66" s="12"/>
      <c r="N66" s="12">
        <v>2750</v>
      </c>
      <c r="O66" s="12"/>
      <c r="P66" s="12"/>
      <c r="Q66" s="12"/>
      <c r="R66" s="12"/>
      <c r="S66" s="12"/>
      <c r="T66" s="12"/>
      <c r="U66" s="12"/>
      <c r="V66" s="12"/>
      <c r="W66" s="12"/>
      <c r="X66" s="12"/>
      <c r="Y66" s="12"/>
      <c r="Z66" s="12">
        <v>2750</v>
      </c>
      <c r="AA66" s="12"/>
      <c r="AB66" s="12"/>
      <c r="AC66" s="13">
        <f t="shared" si="13"/>
        <v>8250</v>
      </c>
    </row>
    <row r="67" spans="1:30" x14ac:dyDescent="0.2">
      <c r="A67" s="32" t="s">
        <v>79</v>
      </c>
      <c r="B67" s="12"/>
      <c r="C67" s="12"/>
      <c r="D67" s="12"/>
      <c r="E67" s="12"/>
      <c r="F67" s="12"/>
      <c r="G67" s="12"/>
      <c r="H67" s="12"/>
      <c r="I67" s="12">
        <f>(1100000-1000000)*0.01175+6438</f>
        <v>7613</v>
      </c>
      <c r="J67" s="12"/>
      <c r="K67" s="12"/>
      <c r="L67" s="12"/>
      <c r="M67" s="12"/>
      <c r="N67" s="12"/>
      <c r="O67" s="12"/>
      <c r="P67" s="12"/>
      <c r="Q67" s="12"/>
      <c r="R67" s="12"/>
      <c r="S67" s="12"/>
      <c r="T67" s="12"/>
      <c r="U67" s="12"/>
      <c r="V67" s="12"/>
      <c r="W67" s="12"/>
      <c r="X67" s="12"/>
      <c r="Y67" s="12"/>
      <c r="Z67" s="12"/>
      <c r="AA67" s="12"/>
      <c r="AB67" s="12"/>
      <c r="AC67" s="13">
        <f t="shared" si="13"/>
        <v>7613</v>
      </c>
    </row>
    <row r="68" spans="1:30" x14ac:dyDescent="0.2">
      <c r="A68" s="33" t="s">
        <v>91</v>
      </c>
      <c r="B68" s="12"/>
      <c r="C68" s="12"/>
      <c r="D68" s="12"/>
      <c r="E68" s="12"/>
      <c r="F68" s="12"/>
      <c r="G68" s="12"/>
      <c r="H68" s="12"/>
      <c r="I68" s="12"/>
      <c r="J68" s="12"/>
      <c r="K68" s="12"/>
      <c r="L68" s="12"/>
      <c r="M68" s="12"/>
      <c r="N68" s="12"/>
      <c r="O68" s="12"/>
      <c r="P68" s="12"/>
      <c r="Q68" s="12"/>
      <c r="R68" s="12"/>
      <c r="S68" s="12"/>
      <c r="T68" s="12"/>
      <c r="U68" s="12"/>
      <c r="V68" s="12"/>
      <c r="X68" s="12"/>
      <c r="Y68" s="12"/>
      <c r="Z68" s="12"/>
      <c r="AA68" s="12"/>
      <c r="AB68" s="12"/>
      <c r="AC68" s="13">
        <f t="shared" si="13"/>
        <v>0</v>
      </c>
    </row>
    <row r="69" spans="1:30" x14ac:dyDescent="0.2">
      <c r="A69" s="32" t="s">
        <v>80</v>
      </c>
      <c r="B69" s="12"/>
      <c r="C69" s="12"/>
      <c r="D69" s="12">
        <v>250</v>
      </c>
      <c r="E69" s="12"/>
      <c r="F69" s="12"/>
      <c r="G69" s="12">
        <v>250</v>
      </c>
      <c r="H69" s="12"/>
      <c r="I69" s="12"/>
      <c r="J69" s="12">
        <v>250</v>
      </c>
      <c r="K69" s="12"/>
      <c r="L69" s="12"/>
      <c r="M69" s="12">
        <v>250</v>
      </c>
      <c r="N69" s="12"/>
      <c r="O69" s="12"/>
      <c r="P69" s="12">
        <v>250</v>
      </c>
      <c r="Q69" s="12"/>
      <c r="R69" s="12"/>
      <c r="S69" s="12">
        <v>250</v>
      </c>
      <c r="T69" s="12"/>
      <c r="U69" s="12"/>
      <c r="V69" s="12">
        <v>250</v>
      </c>
      <c r="X69" s="12"/>
      <c r="Y69" s="12">
        <v>250</v>
      </c>
      <c r="Z69" s="12"/>
      <c r="AA69" s="12"/>
      <c r="AB69" s="12"/>
      <c r="AC69" s="13">
        <f t="shared" si="13"/>
        <v>2000</v>
      </c>
    </row>
    <row r="70" spans="1:30" x14ac:dyDescent="0.2">
      <c r="B70" s="12"/>
      <c r="C70" s="12"/>
      <c r="D70" s="12"/>
      <c r="E70" s="12"/>
      <c r="F70" s="12"/>
      <c r="G70" s="12"/>
      <c r="H70" s="10"/>
      <c r="I70" s="12"/>
      <c r="J70" s="12"/>
      <c r="K70" s="12"/>
      <c r="L70" s="12"/>
      <c r="M70" s="12"/>
      <c r="N70" s="12"/>
      <c r="O70" s="12"/>
      <c r="P70" s="12"/>
      <c r="Q70" s="12"/>
      <c r="R70" s="12"/>
      <c r="S70" s="12"/>
      <c r="T70" s="12"/>
      <c r="U70" s="12"/>
      <c r="V70" s="12"/>
      <c r="W70" s="12"/>
      <c r="X70" s="12"/>
      <c r="Y70" s="12"/>
      <c r="Z70" s="12"/>
      <c r="AA70" s="12"/>
      <c r="AB70" s="12"/>
      <c r="AC70" s="13"/>
    </row>
    <row r="71" spans="1:30" x14ac:dyDescent="0.2">
      <c r="A71" s="9" t="s">
        <v>102</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3"/>
    </row>
    <row r="72" spans="1:30" x14ac:dyDescent="0.2">
      <c r="A72" s="8" t="s">
        <v>45</v>
      </c>
      <c r="B72" s="12">
        <f>5500</f>
        <v>5500</v>
      </c>
      <c r="C72" s="12">
        <v>550</v>
      </c>
      <c r="D72" s="12">
        <v>550</v>
      </c>
      <c r="E72" s="12">
        <v>550</v>
      </c>
      <c r="F72" s="12">
        <v>550</v>
      </c>
      <c r="G72" s="12">
        <v>550</v>
      </c>
      <c r="H72" s="12">
        <v>550</v>
      </c>
      <c r="I72" s="12">
        <v>550</v>
      </c>
      <c r="J72" s="12">
        <v>550</v>
      </c>
      <c r="K72" s="12">
        <v>550</v>
      </c>
      <c r="L72" s="12">
        <v>550</v>
      </c>
      <c r="M72" s="12">
        <v>550</v>
      </c>
      <c r="N72" s="12">
        <v>550</v>
      </c>
      <c r="O72" s="12">
        <v>550</v>
      </c>
      <c r="P72" s="12">
        <v>550</v>
      </c>
      <c r="Q72" s="12">
        <v>550</v>
      </c>
      <c r="R72" s="12">
        <v>550</v>
      </c>
      <c r="S72" s="12">
        <v>550</v>
      </c>
      <c r="T72" s="12">
        <v>550</v>
      </c>
      <c r="U72" s="12">
        <v>550</v>
      </c>
      <c r="V72" s="12">
        <v>550</v>
      </c>
      <c r="W72" s="12">
        <v>550</v>
      </c>
      <c r="X72" s="12">
        <v>550</v>
      </c>
      <c r="Y72" s="12">
        <f>2500+250</f>
        <v>2750</v>
      </c>
      <c r="Z72" s="12">
        <v>550</v>
      </c>
      <c r="AA72" s="12">
        <v>550</v>
      </c>
      <c r="AB72" s="12">
        <f>2750</f>
        <v>2750</v>
      </c>
      <c r="AC72" s="13">
        <f t="shared" ref="AC72:AC79" si="15">SUM(B72:AB72)</f>
        <v>24200</v>
      </c>
    </row>
    <row r="73" spans="1:30" x14ac:dyDescent="0.2">
      <c r="A73" s="8" t="s">
        <v>93</v>
      </c>
      <c r="B73" s="12"/>
      <c r="C73" s="12"/>
      <c r="D73" s="12"/>
      <c r="E73" s="12"/>
      <c r="F73" s="12"/>
      <c r="G73" s="12"/>
      <c r="H73" s="23"/>
      <c r="I73" s="23"/>
      <c r="J73" s="23"/>
      <c r="K73" s="23"/>
      <c r="L73" s="23"/>
      <c r="M73" s="23"/>
      <c r="N73" s="12"/>
      <c r="O73" s="12"/>
      <c r="P73" s="12"/>
      <c r="Q73" s="12"/>
      <c r="R73" s="12"/>
      <c r="S73" s="12"/>
      <c r="T73" s="12"/>
      <c r="U73" s="12"/>
      <c r="V73" s="12"/>
      <c r="W73" s="12"/>
      <c r="X73" s="12"/>
      <c r="Y73" s="12"/>
      <c r="Z73" s="12"/>
      <c r="AA73" s="12"/>
      <c r="AB73" s="12"/>
      <c r="AC73" s="13">
        <f t="shared" si="15"/>
        <v>0</v>
      </c>
    </row>
    <row r="74" spans="1:30" x14ac:dyDescent="0.2">
      <c r="A74" s="8" t="s">
        <v>27</v>
      </c>
      <c r="B74" s="12"/>
      <c r="C74" s="12"/>
      <c r="D74" s="12"/>
      <c r="E74" s="12"/>
      <c r="F74" s="12"/>
      <c r="G74" s="12"/>
      <c r="H74" s="23"/>
      <c r="I74" s="23"/>
      <c r="J74" s="23"/>
      <c r="K74" s="23"/>
      <c r="L74" s="23"/>
      <c r="M74" s="23"/>
      <c r="N74" s="12">
        <v>250</v>
      </c>
      <c r="O74" s="12"/>
      <c r="P74" s="12"/>
      <c r="Q74" s="12"/>
      <c r="R74" s="12"/>
      <c r="S74" s="12"/>
      <c r="T74" s="12"/>
      <c r="U74" s="12"/>
      <c r="V74" s="12"/>
      <c r="W74" s="12"/>
      <c r="X74" s="12"/>
      <c r="Y74" s="12"/>
      <c r="Z74" s="12">
        <v>250</v>
      </c>
      <c r="AA74" s="12"/>
      <c r="AB74" s="12"/>
      <c r="AC74" s="13">
        <f t="shared" si="15"/>
        <v>500</v>
      </c>
    </row>
    <row r="75" spans="1:30" x14ac:dyDescent="0.2">
      <c r="A75" s="8" t="s">
        <v>23</v>
      </c>
      <c r="B75" s="12">
        <v>50</v>
      </c>
      <c r="C75" s="12">
        <v>50</v>
      </c>
      <c r="D75" s="12">
        <v>50</v>
      </c>
      <c r="E75" s="12">
        <v>50</v>
      </c>
      <c r="F75" s="12">
        <v>50</v>
      </c>
      <c r="G75" s="12">
        <v>50</v>
      </c>
      <c r="H75" s="12">
        <v>50</v>
      </c>
      <c r="I75" s="12">
        <v>50</v>
      </c>
      <c r="J75" s="12">
        <v>50</v>
      </c>
      <c r="K75" s="12">
        <v>50</v>
      </c>
      <c r="L75" s="12">
        <v>50</v>
      </c>
      <c r="M75" s="12">
        <v>50</v>
      </c>
      <c r="N75" s="12">
        <v>50</v>
      </c>
      <c r="O75" s="12">
        <v>50</v>
      </c>
      <c r="P75" s="12">
        <v>50</v>
      </c>
      <c r="Q75" s="12">
        <v>50</v>
      </c>
      <c r="R75" s="12">
        <v>50</v>
      </c>
      <c r="S75" s="12">
        <v>50</v>
      </c>
      <c r="T75" s="12">
        <v>50</v>
      </c>
      <c r="U75" s="12">
        <v>50</v>
      </c>
      <c r="V75" s="12">
        <v>50</v>
      </c>
      <c r="W75" s="12">
        <v>50</v>
      </c>
      <c r="X75" s="12">
        <v>50</v>
      </c>
      <c r="Y75" s="12">
        <v>50</v>
      </c>
      <c r="Z75" s="12">
        <v>50</v>
      </c>
      <c r="AA75" s="12">
        <v>50</v>
      </c>
      <c r="AB75" s="12">
        <v>50</v>
      </c>
      <c r="AC75" s="13">
        <f t="shared" si="15"/>
        <v>1350</v>
      </c>
    </row>
    <row r="76" spans="1:30" x14ac:dyDescent="0.2">
      <c r="A76" s="8" t="s">
        <v>101</v>
      </c>
      <c r="B76" s="12">
        <f>330</f>
        <v>330</v>
      </c>
      <c r="C76" s="12">
        <f>330</f>
        <v>330</v>
      </c>
      <c r="D76" s="12">
        <f>330</f>
        <v>330</v>
      </c>
      <c r="E76" s="12">
        <f>330</f>
        <v>330</v>
      </c>
      <c r="F76" s="12">
        <f>330</f>
        <v>330</v>
      </c>
      <c r="G76" s="12">
        <f>330</f>
        <v>330</v>
      </c>
      <c r="H76" s="12">
        <f>330</f>
        <v>330</v>
      </c>
      <c r="I76" s="12">
        <f>330</f>
        <v>330</v>
      </c>
      <c r="J76" s="12">
        <f>330</f>
        <v>330</v>
      </c>
      <c r="K76" s="12">
        <f>330</f>
        <v>330</v>
      </c>
      <c r="L76" s="12">
        <f>330</f>
        <v>330</v>
      </c>
      <c r="M76" s="12">
        <f>330</f>
        <v>330</v>
      </c>
      <c r="N76" s="12">
        <f>330</f>
        <v>330</v>
      </c>
      <c r="O76" s="12">
        <f>330</f>
        <v>330</v>
      </c>
      <c r="P76" s="12">
        <f>330</f>
        <v>330</v>
      </c>
      <c r="Q76" s="12">
        <f>330</f>
        <v>330</v>
      </c>
      <c r="R76" s="12">
        <f>330</f>
        <v>330</v>
      </c>
      <c r="S76" s="12">
        <f>330</f>
        <v>330</v>
      </c>
      <c r="T76" s="12">
        <f>330</f>
        <v>330</v>
      </c>
      <c r="U76" s="12">
        <f>330</f>
        <v>330</v>
      </c>
      <c r="V76" s="12">
        <f>330</f>
        <v>330</v>
      </c>
      <c r="W76" s="12">
        <f>330</f>
        <v>330</v>
      </c>
      <c r="X76" s="12">
        <f>330</f>
        <v>330</v>
      </c>
      <c r="Y76" s="12">
        <f>330</f>
        <v>330</v>
      </c>
      <c r="Z76" s="12">
        <f>330</f>
        <v>330</v>
      </c>
      <c r="AA76" s="12">
        <f>330</f>
        <v>330</v>
      </c>
      <c r="AB76" s="12">
        <f>330</f>
        <v>330</v>
      </c>
      <c r="AC76" s="13">
        <f t="shared" si="15"/>
        <v>8910</v>
      </c>
    </row>
    <row r="77" spans="1:30" x14ac:dyDescent="0.2">
      <c r="A77" s="8" t="s">
        <v>103</v>
      </c>
      <c r="B77" s="12">
        <f>$Z$18*0.033/24</f>
        <v>7356.25</v>
      </c>
      <c r="C77" s="12">
        <f t="shared" ref="C77:Y77" si="16">$Z$18*0.033/24</f>
        <v>7356.25</v>
      </c>
      <c r="D77" s="12">
        <f t="shared" si="16"/>
        <v>7356.25</v>
      </c>
      <c r="E77" s="12">
        <f t="shared" si="16"/>
        <v>7356.25</v>
      </c>
      <c r="F77" s="12">
        <f t="shared" si="16"/>
        <v>7356.25</v>
      </c>
      <c r="G77" s="12">
        <f t="shared" si="16"/>
        <v>7356.25</v>
      </c>
      <c r="H77" s="12">
        <f t="shared" si="16"/>
        <v>7356.25</v>
      </c>
      <c r="I77" s="12">
        <f t="shared" si="16"/>
        <v>7356.25</v>
      </c>
      <c r="J77" s="12">
        <f t="shared" si="16"/>
        <v>7356.25</v>
      </c>
      <c r="K77" s="12">
        <f t="shared" si="16"/>
        <v>7356.25</v>
      </c>
      <c r="L77" s="12">
        <f t="shared" si="16"/>
        <v>7356.25</v>
      </c>
      <c r="M77" s="12">
        <f t="shared" si="16"/>
        <v>7356.25</v>
      </c>
      <c r="N77" s="12">
        <f t="shared" si="16"/>
        <v>7356.25</v>
      </c>
      <c r="O77" s="12">
        <f t="shared" si="16"/>
        <v>7356.25</v>
      </c>
      <c r="P77" s="12">
        <f t="shared" si="16"/>
        <v>7356.25</v>
      </c>
      <c r="Q77" s="12">
        <f t="shared" si="16"/>
        <v>7356.25</v>
      </c>
      <c r="R77" s="12">
        <f t="shared" si="16"/>
        <v>7356.25</v>
      </c>
      <c r="S77" s="12">
        <f t="shared" si="16"/>
        <v>7356.25</v>
      </c>
      <c r="T77" s="12">
        <f t="shared" si="16"/>
        <v>7356.25</v>
      </c>
      <c r="U77" s="12">
        <f t="shared" si="16"/>
        <v>7356.25</v>
      </c>
      <c r="V77" s="12">
        <f t="shared" si="16"/>
        <v>7356.25</v>
      </c>
      <c r="W77" s="12">
        <f t="shared" si="16"/>
        <v>7356.25</v>
      </c>
      <c r="X77" s="12">
        <f t="shared" si="16"/>
        <v>7356.25</v>
      </c>
      <c r="Y77" s="12">
        <f t="shared" si="16"/>
        <v>7356.25</v>
      </c>
      <c r="Z77" s="12"/>
      <c r="AA77" s="12"/>
      <c r="AB77" s="12"/>
      <c r="AC77" s="13">
        <f t="shared" si="15"/>
        <v>176550</v>
      </c>
    </row>
    <row r="78" spans="1:30" x14ac:dyDescent="0.2">
      <c r="A78" s="8" t="s">
        <v>33</v>
      </c>
      <c r="B78" s="12">
        <v>22000</v>
      </c>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3">
        <f t="shared" si="15"/>
        <v>22000</v>
      </c>
      <c r="AD78" s="10"/>
    </row>
    <row r="79" spans="1:30" x14ac:dyDescent="0.2">
      <c r="A79" s="8" t="s">
        <v>22</v>
      </c>
      <c r="B79" s="12">
        <f>2750</f>
        <v>2750</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3">
        <f t="shared" si="15"/>
        <v>2750</v>
      </c>
    </row>
    <row r="80" spans="1:30" x14ac:dyDescent="0.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3"/>
    </row>
    <row r="81" spans="1:31" x14ac:dyDescent="0.2">
      <c r="A81" s="37" t="s">
        <v>2</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26"/>
      <c r="AC81" s="13"/>
      <c r="AE81" s="14"/>
    </row>
    <row r="82" spans="1:31" x14ac:dyDescent="0.2">
      <c r="A82" s="35" t="s">
        <v>98</v>
      </c>
      <c r="C82" s="8">
        <f>2500+250</f>
        <v>2750</v>
      </c>
      <c r="M82" s="8">
        <f>2750</f>
        <v>2750</v>
      </c>
      <c r="AC82" s="13">
        <f t="shared" ref="AC82:AC90" si="17">SUM(B82:AB82)</f>
        <v>5500</v>
      </c>
    </row>
    <row r="83" spans="1:31" x14ac:dyDescent="0.2">
      <c r="A83" s="33" t="s">
        <v>94</v>
      </c>
      <c r="M83" s="8">
        <f>3500+350</f>
        <v>3850</v>
      </c>
      <c r="AC83" s="13">
        <f t="shared" si="17"/>
        <v>3850</v>
      </c>
    </row>
    <row r="84" spans="1:31" x14ac:dyDescent="0.2">
      <c r="A84" s="33" t="s">
        <v>106</v>
      </c>
      <c r="AC84" s="13">
        <f t="shared" si="17"/>
        <v>0</v>
      </c>
    </row>
    <row r="85" spans="1:31" x14ac:dyDescent="0.2">
      <c r="A85" s="33" t="s">
        <v>96</v>
      </c>
      <c r="K85" s="8">
        <f>2500+250</f>
        <v>2750</v>
      </c>
      <c r="AC85" s="13">
        <f t="shared" si="17"/>
        <v>2750</v>
      </c>
    </row>
    <row r="86" spans="1:31" x14ac:dyDescent="0.2">
      <c r="A86" s="33" t="s">
        <v>99</v>
      </c>
      <c r="B86" s="8">
        <f>7500+750</f>
        <v>8250</v>
      </c>
      <c r="AC86" s="13">
        <f t="shared" si="17"/>
        <v>8250</v>
      </c>
    </row>
    <row r="87" spans="1:31" x14ac:dyDescent="0.2">
      <c r="A87" s="33" t="s">
        <v>95</v>
      </c>
      <c r="Y87" s="8">
        <f>2500+250</f>
        <v>2750</v>
      </c>
      <c r="AC87" s="13">
        <f t="shared" si="17"/>
        <v>2750</v>
      </c>
    </row>
    <row r="88" spans="1:31" x14ac:dyDescent="0.2">
      <c r="A88" s="33" t="s">
        <v>100</v>
      </c>
      <c r="D88" s="8">
        <f>3300</f>
        <v>3300</v>
      </c>
      <c r="AC88" s="13">
        <f t="shared" si="17"/>
        <v>3300</v>
      </c>
    </row>
    <row r="89" spans="1:31" x14ac:dyDescent="0.2">
      <c r="A89" s="33" t="s">
        <v>108</v>
      </c>
      <c r="AC89" s="13">
        <f t="shared" si="17"/>
        <v>0</v>
      </c>
    </row>
    <row r="90" spans="1:31" x14ac:dyDescent="0.2">
      <c r="A90" s="33" t="s">
        <v>97</v>
      </c>
      <c r="B90" s="12"/>
      <c r="C90" s="12"/>
      <c r="D90" s="12"/>
      <c r="E90" s="12"/>
      <c r="F90" s="12"/>
      <c r="G90" s="12"/>
      <c r="H90" s="12"/>
      <c r="I90" s="12"/>
      <c r="J90" s="12"/>
      <c r="K90" s="12"/>
      <c r="L90" s="12"/>
      <c r="M90" s="12"/>
      <c r="N90" s="12"/>
      <c r="O90" s="12"/>
      <c r="P90" s="12"/>
      <c r="Q90" s="12"/>
      <c r="R90" s="12"/>
      <c r="S90" s="12"/>
      <c r="T90" s="12"/>
      <c r="U90" s="12"/>
      <c r="V90" s="12"/>
      <c r="W90" s="12"/>
      <c r="X90" s="12"/>
      <c r="Y90" s="12"/>
      <c r="Z90" s="12">
        <f>1250*5</f>
        <v>6250</v>
      </c>
      <c r="AA90" s="12"/>
      <c r="AB90" s="12"/>
      <c r="AC90" s="13">
        <f t="shared" si="17"/>
        <v>6250</v>
      </c>
    </row>
    <row r="91" spans="1:31" x14ac:dyDescent="0.2">
      <c r="A91" s="3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3"/>
    </row>
    <row r="92" spans="1:31" x14ac:dyDescent="0.2">
      <c r="A92" s="9" t="s">
        <v>1</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3"/>
    </row>
    <row r="93" spans="1:31" x14ac:dyDescent="0.2">
      <c r="A93" s="40" t="s">
        <v>42</v>
      </c>
      <c r="B93" s="12"/>
      <c r="C93" s="12"/>
      <c r="D93" s="12"/>
      <c r="F93" s="12"/>
      <c r="G93" s="12"/>
      <c r="H93" s="12"/>
      <c r="I93" s="12"/>
      <c r="J93" s="12"/>
      <c r="K93" s="12"/>
      <c r="L93" s="12"/>
      <c r="M93" s="12"/>
      <c r="N93" s="12">
        <f>(1360*1500)*0.05</f>
        <v>102000</v>
      </c>
      <c r="O93" s="12"/>
      <c r="P93" s="12">
        <f>(1360*1500)*0.1</f>
        <v>204000</v>
      </c>
      <c r="Q93" s="12"/>
      <c r="R93" s="12">
        <f>(1360*1500)*0.15</f>
        <v>306000</v>
      </c>
      <c r="S93" s="12"/>
      <c r="T93" s="12">
        <f>(1360*1500)*0.35</f>
        <v>714000</v>
      </c>
      <c r="V93" s="12">
        <f>(1360*1500)*0.2</f>
        <v>408000</v>
      </c>
      <c r="W93" s="12"/>
      <c r="X93" s="12">
        <f>(1360*1500)*0.15</f>
        <v>306000</v>
      </c>
      <c r="Y93" s="12"/>
      <c r="Z93" s="12"/>
      <c r="AA93" s="12"/>
      <c r="AB93" s="12"/>
      <c r="AC93" s="13">
        <f>SUM(B93:AB93)</f>
        <v>2040000</v>
      </c>
    </row>
    <row r="94" spans="1:31" x14ac:dyDescent="0.2">
      <c r="A94" s="32" t="s">
        <v>104</v>
      </c>
      <c r="B94" s="12"/>
      <c r="C94" s="12"/>
      <c r="D94" s="12"/>
      <c r="F94" s="12"/>
      <c r="G94" s="12"/>
      <c r="H94" s="12"/>
      <c r="I94" s="12"/>
      <c r="J94" s="12">
        <f>15000+1500</f>
        <v>16500</v>
      </c>
      <c r="K94" s="12"/>
      <c r="L94" s="12"/>
      <c r="M94" s="12"/>
      <c r="N94" s="12"/>
      <c r="O94" s="12"/>
      <c r="P94" s="12"/>
      <c r="Q94" s="12"/>
      <c r="R94" s="12"/>
      <c r="S94" s="12"/>
      <c r="T94" s="12"/>
      <c r="V94" s="12"/>
      <c r="W94" s="12"/>
      <c r="X94" s="12"/>
      <c r="Y94" s="12"/>
      <c r="Z94" s="12"/>
      <c r="AA94" s="12"/>
      <c r="AB94" s="12"/>
      <c r="AC94" s="13">
        <f>SUM(B94:AB94)</f>
        <v>16500</v>
      </c>
    </row>
    <row r="95" spans="1:31" x14ac:dyDescent="0.2">
      <c r="A95" s="32" t="s">
        <v>29</v>
      </c>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26"/>
      <c r="AC95" s="13">
        <f>SUM(B95:AB95)</f>
        <v>0</v>
      </c>
    </row>
    <row r="96" spans="1:31" x14ac:dyDescent="0.2">
      <c r="A96" s="40" t="s">
        <v>107</v>
      </c>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26"/>
      <c r="AC96" s="13">
        <f>SUM(B96:AB96)</f>
        <v>0</v>
      </c>
    </row>
    <row r="97" spans="1:31" x14ac:dyDescent="0.2">
      <c r="A97" s="40"/>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26"/>
      <c r="AC97" s="13"/>
    </row>
    <row r="98" spans="1:31" x14ac:dyDescent="0.2">
      <c r="A98" s="9" t="s">
        <v>4</v>
      </c>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C98" s="13"/>
      <c r="AE98" s="10"/>
    </row>
    <row r="99" spans="1:31" x14ac:dyDescent="0.2">
      <c r="A99" s="8" t="s">
        <v>89</v>
      </c>
      <c r="B99" s="12"/>
      <c r="C99" s="12">
        <f>SUM(B24:D25)*0.005</f>
        <v>5500</v>
      </c>
      <c r="D99" s="12"/>
      <c r="E99" s="12"/>
      <c r="F99" s="12"/>
      <c r="G99" s="12"/>
      <c r="H99" s="12"/>
      <c r="I99" s="12"/>
      <c r="J99" s="12"/>
      <c r="K99" s="12"/>
      <c r="L99" s="12"/>
      <c r="M99" s="12">
        <f>AC93*0.005</f>
        <v>10200</v>
      </c>
      <c r="N99" s="12"/>
      <c r="O99" s="12"/>
      <c r="P99" s="12"/>
      <c r="Q99" s="12"/>
      <c r="R99" s="12"/>
      <c r="S99" s="12"/>
      <c r="T99" s="12"/>
      <c r="U99" s="12"/>
      <c r="V99" s="12"/>
      <c r="W99" s="12"/>
      <c r="X99" s="12"/>
      <c r="Y99" s="12"/>
      <c r="Z99" s="12"/>
      <c r="AA99" s="12"/>
      <c r="AB99" s="12"/>
      <c r="AC99" s="13">
        <f t="shared" ref="AC99:AC105" si="18">SUM(B99:AB99)</f>
        <v>15700</v>
      </c>
    </row>
    <row r="100" spans="1:31" x14ac:dyDescent="0.2">
      <c r="A100" s="8" t="s">
        <v>193</v>
      </c>
      <c r="B100" s="12"/>
      <c r="C100" s="12"/>
      <c r="D100" s="12">
        <f>(D15*0.07)/12</f>
        <v>1925.0000000000002</v>
      </c>
      <c r="E100" s="12">
        <f>($D$15+D100)*0.07/12</f>
        <v>1936.229166666667</v>
      </c>
      <c r="F100" s="12">
        <f>($D$15+SUM($D$100:E100))*0.07/12</f>
        <v>1947.5238368055559</v>
      </c>
      <c r="G100" s="12">
        <f>($D$15+SUM($D$100:F100))*0.07/12</f>
        <v>1958.8843925202548</v>
      </c>
      <c r="H100" s="12">
        <f>($D$15+SUM($D$100:G100))*0.07/12</f>
        <v>1970.3112181432896</v>
      </c>
      <c r="I100" s="12">
        <f>($D$15+SUM($D$100:H100))*0.07/12</f>
        <v>1981.8047002491257</v>
      </c>
      <c r="J100" s="12">
        <f>($D$15+SUM($D$100:I100))*0.07/12</f>
        <v>1993.3652276672456</v>
      </c>
      <c r="K100" s="12">
        <f>($D$15+SUM($D$100:J100))*0.07/12</f>
        <v>2004.9931914953047</v>
      </c>
      <c r="L100" s="12">
        <f>($D$15+SUM($D$100:K100))*0.07/12</f>
        <v>2016.6889851123606</v>
      </c>
      <c r="M100" s="12">
        <f>($D$15+SUM($D$100:L100))*0.07/12</f>
        <v>2028.4530041921826</v>
      </c>
      <c r="N100" s="12">
        <f>($D$15+SUM($D$100:M100))*0.07/12</f>
        <v>2040.2856467166366</v>
      </c>
      <c r="O100" s="12">
        <f>($D$15+SUM($D$100:N100))*0.07/12</f>
        <v>2052.1873129891505</v>
      </c>
      <c r="P100" s="12">
        <f>($D$15+SUM($D$100:O100))*0.07/12</f>
        <v>2064.1584056482538</v>
      </c>
      <c r="Q100" s="12">
        <f>($D$15+SUM($D$100:P100))*0.07/12</f>
        <v>2076.199329681202</v>
      </c>
      <c r="R100" s="12">
        <f>($D$15+SUM($D$100:Q100))*0.07/12</f>
        <v>2088.3104924376753</v>
      </c>
      <c r="S100" s="12">
        <f>($D$15+SUM($D$100:R100))*0.07/12</f>
        <v>2100.4923036435621</v>
      </c>
      <c r="T100" s="12">
        <f>($D$15+SUM($D$100:S100))*0.07/12</f>
        <v>2112.745175414816</v>
      </c>
      <c r="U100" s="12">
        <f>($D$15+SUM($D$100:T100))*0.07/12</f>
        <v>2125.0695222714025</v>
      </c>
      <c r="V100" s="12">
        <f>($D$15+SUM($D$100:U100))*0.07/12</f>
        <v>2137.4657611513189</v>
      </c>
      <c r="W100" s="12">
        <f>($D$15+SUM($D$100:V100))*0.07/12</f>
        <v>2149.9343114247017</v>
      </c>
      <c r="X100" s="12">
        <f>($D$15+SUM($D$100:W100))*0.07/12</f>
        <v>2162.4755949080127</v>
      </c>
      <c r="Y100" s="12">
        <f>($D$15+SUM($D$100:X100))*0.07/12</f>
        <v>2175.0900358783097</v>
      </c>
      <c r="Z100" s="12"/>
      <c r="AA100" s="12"/>
      <c r="AB100" s="12"/>
      <c r="AC100" s="13">
        <f t="shared" si="18"/>
        <v>45047.667615017031</v>
      </c>
      <c r="AD100" s="10"/>
    </row>
    <row r="101" spans="1:31" x14ac:dyDescent="0.2">
      <c r="A101" s="8" t="s">
        <v>194</v>
      </c>
      <c r="B101" s="12"/>
      <c r="C101" s="12"/>
      <c r="D101" s="12"/>
      <c r="E101" s="12"/>
      <c r="F101" s="12"/>
      <c r="G101" s="12"/>
      <c r="H101" s="12"/>
      <c r="I101" s="12"/>
      <c r="J101" s="12"/>
      <c r="K101" s="12"/>
      <c r="L101" s="12"/>
      <c r="M101" s="12"/>
      <c r="N101" s="12">
        <f>N14*0.07/12</f>
        <v>595.00000000000011</v>
      </c>
      <c r="O101" s="12">
        <f>SUM($N$14:O14)*0.07/12</f>
        <v>598.47083333333342</v>
      </c>
      <c r="P101" s="12">
        <f>SUM($N$14:P14)*0.07/12</f>
        <v>1791.9619131944446</v>
      </c>
      <c r="Q101" s="12">
        <f>SUM($N$14:Q14)*0.07/12</f>
        <v>1802.4150243547456</v>
      </c>
      <c r="R101" s="12">
        <f>SUM($N$14:R14)*0.07/12</f>
        <v>3597.9291119968152</v>
      </c>
      <c r="S101" s="12">
        <f>SUM($N$14:S14)*0.07/12</f>
        <v>3618.9170318167962</v>
      </c>
      <c r="T101" s="12">
        <f>SUM($N$14:T14)*0.07/12</f>
        <v>7805.0273811690613</v>
      </c>
      <c r="U101" s="12">
        <f>SUM($N$14:U14)*0.07/12</f>
        <v>7850.5567075592153</v>
      </c>
      <c r="V101" s="12">
        <f>SUM($N$14:V14)*0.07/12</f>
        <v>10276.351621686643</v>
      </c>
      <c r="W101" s="12">
        <f>SUM($N$14:W14)*0.07/12</f>
        <v>10336.297006146482</v>
      </c>
      <c r="X101" s="12">
        <f>SUM($N$14:X14)*0.07/12</f>
        <v>12181.592072015672</v>
      </c>
      <c r="Y101" s="12">
        <f>SUM($N$14:Y14)*0.07/12</f>
        <v>12252.651359102429</v>
      </c>
      <c r="Z101" s="12"/>
      <c r="AA101" s="12"/>
      <c r="AB101" s="12"/>
      <c r="AC101" s="13">
        <f t="shared" si="18"/>
        <v>72707.170062375633</v>
      </c>
      <c r="AD101" s="10"/>
    </row>
    <row r="102" spans="1:31" x14ac:dyDescent="0.2">
      <c r="A102" s="8" t="s">
        <v>195</v>
      </c>
      <c r="B102" s="12"/>
      <c r="C102" s="12"/>
      <c r="D102" s="12"/>
      <c r="E102" s="12"/>
      <c r="F102" s="12"/>
      <c r="I102" s="12"/>
      <c r="J102" s="12"/>
      <c r="K102" s="12"/>
      <c r="L102" s="12"/>
      <c r="M102" s="12"/>
      <c r="O102" s="12"/>
      <c r="P102" s="12"/>
      <c r="Q102" s="12"/>
      <c r="R102" s="12"/>
      <c r="S102" s="12"/>
      <c r="T102" s="12"/>
      <c r="U102" s="12"/>
      <c r="V102" s="12"/>
      <c r="W102" s="12"/>
      <c r="X102" s="12"/>
      <c r="Y102" s="12"/>
      <c r="Z102" s="12">
        <f>AC15</f>
        <v>375047.66761501704</v>
      </c>
      <c r="AA102" s="12"/>
      <c r="AB102" s="12"/>
      <c r="AC102" s="13">
        <f t="shared" si="18"/>
        <v>375047.66761501704</v>
      </c>
    </row>
    <row r="103" spans="1:31" x14ac:dyDescent="0.2">
      <c r="A103" s="8" t="s">
        <v>196</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f>AC14</f>
        <v>2112707.1700623757</v>
      </c>
      <c r="AA103" s="12"/>
      <c r="AB103" s="12"/>
      <c r="AC103" s="13">
        <f t="shared" si="18"/>
        <v>2112707.1700623757</v>
      </c>
    </row>
    <row r="104" spans="1:31" x14ac:dyDescent="0.2">
      <c r="A104" s="8" t="s">
        <v>90</v>
      </c>
      <c r="B104" s="12"/>
      <c r="C104" s="12"/>
      <c r="D104" s="12"/>
      <c r="E104" s="12"/>
      <c r="F104" s="12"/>
      <c r="G104" s="12"/>
      <c r="H104" s="12"/>
      <c r="I104" s="12"/>
      <c r="J104" s="12"/>
      <c r="K104" s="12"/>
      <c r="L104" s="12"/>
      <c r="M104" s="12"/>
      <c r="N104" s="12"/>
      <c r="O104" s="12"/>
      <c r="P104" s="12">
        <v>550</v>
      </c>
      <c r="Q104" s="12"/>
      <c r="R104" s="12">
        <v>550</v>
      </c>
      <c r="S104" s="12"/>
      <c r="T104" s="12">
        <v>550</v>
      </c>
      <c r="U104" s="12"/>
      <c r="V104" s="12">
        <v>550</v>
      </c>
      <c r="W104" s="12"/>
      <c r="X104" s="12">
        <v>550</v>
      </c>
      <c r="Y104" s="12"/>
      <c r="Z104" s="12"/>
      <c r="AA104" s="12"/>
      <c r="AB104" s="12"/>
      <c r="AC104" s="13">
        <f t="shared" si="18"/>
        <v>2750</v>
      </c>
    </row>
    <row r="105" spans="1:31" ht="13.5" customHeight="1" x14ac:dyDescent="0.2">
      <c r="A105" s="8" t="s">
        <v>26</v>
      </c>
      <c r="B105" s="12"/>
      <c r="C105" s="12"/>
      <c r="D105" s="12"/>
      <c r="E105" s="12"/>
      <c r="F105" s="12"/>
      <c r="G105" s="12"/>
      <c r="H105" s="12"/>
      <c r="I105" s="12"/>
      <c r="J105" s="12"/>
      <c r="K105" s="12"/>
      <c r="L105" s="12"/>
      <c r="M105" s="12">
        <v>3850</v>
      </c>
      <c r="N105" s="12"/>
      <c r="O105" s="12"/>
      <c r="P105" s="12"/>
      <c r="Q105" s="12"/>
      <c r="R105" s="12"/>
      <c r="S105" s="12"/>
      <c r="T105" s="12"/>
      <c r="U105" s="12"/>
      <c r="V105" s="12"/>
      <c r="W105" s="12"/>
      <c r="X105" s="12"/>
      <c r="Y105" s="12"/>
      <c r="Z105" s="12"/>
      <c r="AA105" s="12"/>
      <c r="AB105" s="12"/>
      <c r="AC105" s="13">
        <f t="shared" si="18"/>
        <v>3850</v>
      </c>
      <c r="AD105" s="10"/>
    </row>
    <row r="106" spans="1:31" ht="13.5" customHeight="1" x14ac:dyDescent="0.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3"/>
    </row>
    <row r="107" spans="1:31" x14ac:dyDescent="0.2">
      <c r="A107" s="9" t="s">
        <v>39</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3"/>
    </row>
    <row r="108" spans="1:31" x14ac:dyDescent="0.2">
      <c r="A108" s="39" t="s">
        <v>191</v>
      </c>
      <c r="B108" s="12"/>
      <c r="C108" s="12"/>
      <c r="D108" s="12"/>
      <c r="E108" s="12"/>
      <c r="F108" s="12"/>
      <c r="G108" s="12"/>
      <c r="H108" s="12"/>
      <c r="I108" s="12"/>
      <c r="J108" s="12">
        <f>2750</f>
        <v>2750</v>
      </c>
      <c r="K108" s="12"/>
      <c r="L108" s="12"/>
      <c r="M108" s="12"/>
      <c r="N108" s="12"/>
      <c r="O108" s="12"/>
      <c r="P108" s="12"/>
      <c r="Q108" s="12"/>
      <c r="R108" s="12"/>
      <c r="S108" s="12"/>
      <c r="T108" s="12"/>
      <c r="U108" s="12"/>
      <c r="V108" s="12"/>
      <c r="W108" s="12"/>
      <c r="X108" s="12"/>
      <c r="Y108" s="12"/>
      <c r="Z108" s="12"/>
      <c r="AA108" s="12"/>
      <c r="AB108" s="12"/>
      <c r="AC108" s="13">
        <f t="shared" ref="AC108:AC119" si="19">SUM(B108:AB108)</f>
        <v>2750</v>
      </c>
    </row>
    <row r="109" spans="1:31" x14ac:dyDescent="0.2">
      <c r="A109" s="38" t="s">
        <v>41</v>
      </c>
      <c r="B109" s="12"/>
      <c r="C109" s="12"/>
      <c r="D109" s="12"/>
      <c r="E109" s="12"/>
      <c r="F109" s="12"/>
      <c r="G109" s="12"/>
      <c r="H109" s="12"/>
      <c r="I109" s="12"/>
      <c r="J109" s="8">
        <f>2750</f>
        <v>2750</v>
      </c>
      <c r="K109" s="8">
        <f>2750</f>
        <v>2750</v>
      </c>
      <c r="L109" s="8">
        <f>2750</f>
        <v>2750</v>
      </c>
      <c r="M109" s="8">
        <f>2750</f>
        <v>2750</v>
      </c>
      <c r="N109" s="8">
        <f>2750</f>
        <v>2750</v>
      </c>
      <c r="O109" s="12"/>
      <c r="P109" s="12"/>
      <c r="Q109" s="12"/>
      <c r="R109" s="12"/>
      <c r="S109" s="12"/>
      <c r="T109" s="12"/>
      <c r="U109" s="12"/>
      <c r="V109" s="12"/>
      <c r="W109" s="12"/>
      <c r="X109" s="12"/>
      <c r="Y109" s="12"/>
      <c r="Z109" s="12"/>
      <c r="AA109" s="12"/>
      <c r="AB109" s="12"/>
      <c r="AC109" s="13">
        <f t="shared" si="19"/>
        <v>13750</v>
      </c>
    </row>
    <row r="110" spans="1:31" x14ac:dyDescent="0.2">
      <c r="A110" s="8" t="s">
        <v>145</v>
      </c>
      <c r="B110" s="12"/>
      <c r="C110" s="12"/>
      <c r="D110" s="12"/>
      <c r="E110" s="12"/>
      <c r="F110" s="12"/>
      <c r="G110" s="12"/>
      <c r="H110" s="12"/>
      <c r="I110" s="12"/>
      <c r="K110" s="12">
        <f>'Sales Schedule'!I7*0.055/2</f>
        <v>33000</v>
      </c>
      <c r="L110" s="12">
        <f>'Sales Schedule'!I8*0.055/2</f>
        <v>26125</v>
      </c>
      <c r="M110" s="12">
        <f>'Sales Schedule'!I9*0.055/2</f>
        <v>30250</v>
      </c>
      <c r="N110" s="12">
        <f>'Sales Schedule'!I10*0.055/2</f>
        <v>25437.5</v>
      </c>
      <c r="O110" s="12">
        <f>'Sales Schedule'!I11*0.055/2</f>
        <v>32312.5</v>
      </c>
      <c r="P110" s="12"/>
      <c r="Q110" s="12"/>
      <c r="R110" s="12"/>
      <c r="S110" s="12"/>
      <c r="T110" s="12"/>
      <c r="U110" s="12"/>
      <c r="V110" s="12"/>
      <c r="W110" s="12"/>
      <c r="X110" s="12"/>
      <c r="Y110" s="12"/>
      <c r="Z110" s="12">
        <f>SUM(K110:O110)</f>
        <v>147125</v>
      </c>
      <c r="AA110" s="12"/>
      <c r="AB110" s="12"/>
      <c r="AC110" s="13">
        <f t="shared" si="19"/>
        <v>294250</v>
      </c>
      <c r="AD110" s="81"/>
    </row>
    <row r="111" spans="1:31" x14ac:dyDescent="0.2">
      <c r="A111" s="8" t="s">
        <v>146</v>
      </c>
      <c r="B111" s="12"/>
      <c r="C111" s="12"/>
      <c r="D111" s="12"/>
      <c r="E111" s="12"/>
      <c r="F111" s="12"/>
      <c r="G111" s="12"/>
      <c r="H111" s="12"/>
      <c r="I111" s="12"/>
      <c r="K111" s="12"/>
      <c r="L111" s="12"/>
      <c r="M111" s="12"/>
      <c r="N111" s="12"/>
      <c r="O111" s="12"/>
      <c r="P111" s="12"/>
      <c r="Q111" s="12"/>
      <c r="R111" s="12"/>
      <c r="S111" s="12"/>
      <c r="T111" s="12"/>
      <c r="U111" s="12"/>
      <c r="V111" s="12"/>
      <c r="W111" s="12"/>
      <c r="X111" s="12"/>
      <c r="Y111" s="12"/>
      <c r="Z111" s="12"/>
      <c r="AA111" s="12"/>
      <c r="AB111" s="12"/>
      <c r="AC111" s="13">
        <f t="shared" si="19"/>
        <v>0</v>
      </c>
    </row>
    <row r="112" spans="1:31" x14ac:dyDescent="0.2">
      <c r="A112" s="39" t="s">
        <v>83</v>
      </c>
      <c r="B112" s="12"/>
      <c r="C112" s="12"/>
      <c r="D112" s="12"/>
      <c r="E112" s="12"/>
      <c r="F112" s="12"/>
      <c r="G112" s="12"/>
      <c r="H112" s="12"/>
      <c r="I112" s="12"/>
      <c r="K112" s="12"/>
      <c r="L112" s="12"/>
      <c r="M112" s="12"/>
      <c r="N112" s="12"/>
      <c r="O112" s="12"/>
      <c r="P112" s="12"/>
      <c r="Q112" s="12"/>
      <c r="R112" s="12"/>
      <c r="S112" s="12"/>
      <c r="T112" s="12"/>
      <c r="U112" s="12"/>
      <c r="V112" s="12"/>
      <c r="W112" s="12"/>
      <c r="X112" s="12"/>
      <c r="Y112" s="12"/>
      <c r="Z112" s="12"/>
      <c r="AA112" s="12"/>
      <c r="AB112" s="12"/>
      <c r="AC112" s="13">
        <f t="shared" si="19"/>
        <v>0</v>
      </c>
    </row>
    <row r="113" spans="1:30" x14ac:dyDescent="0.2">
      <c r="A113" s="38" t="s">
        <v>40</v>
      </c>
      <c r="B113" s="12"/>
      <c r="C113" s="12"/>
      <c r="D113" s="12"/>
      <c r="E113" s="12"/>
      <c r="F113" s="12"/>
      <c r="G113" s="12"/>
      <c r="H113" s="12"/>
      <c r="I113" s="12"/>
      <c r="J113" s="8">
        <f>15000*1.1</f>
        <v>16500</v>
      </c>
      <c r="K113" s="12"/>
      <c r="L113" s="12"/>
      <c r="M113" s="12"/>
      <c r="N113" s="12"/>
      <c r="O113" s="12"/>
      <c r="P113" s="12"/>
      <c r="Q113" s="12"/>
      <c r="R113" s="12"/>
      <c r="S113" s="12"/>
      <c r="T113" s="12"/>
      <c r="U113" s="12"/>
      <c r="V113" s="12"/>
      <c r="W113" s="12"/>
      <c r="X113" s="12"/>
      <c r="Y113" s="12"/>
      <c r="Z113" s="12"/>
      <c r="AA113" s="12"/>
      <c r="AB113" s="12"/>
      <c r="AC113" s="13">
        <f t="shared" si="19"/>
        <v>16500</v>
      </c>
    </row>
    <row r="114" spans="1:30" x14ac:dyDescent="0.2">
      <c r="A114" s="39" t="s">
        <v>86</v>
      </c>
      <c r="B114" s="12"/>
      <c r="C114" s="12"/>
      <c r="D114" s="12"/>
      <c r="E114" s="12"/>
      <c r="F114" s="12"/>
      <c r="G114" s="12"/>
      <c r="H114" s="12"/>
      <c r="I114" s="12"/>
      <c r="K114" s="12"/>
      <c r="L114" s="12"/>
      <c r="M114" s="12"/>
      <c r="N114" s="12"/>
      <c r="O114" s="12"/>
      <c r="P114" s="12"/>
      <c r="Q114" s="12"/>
      <c r="R114" s="12"/>
      <c r="S114" s="12"/>
      <c r="T114" s="12"/>
      <c r="U114" s="12"/>
      <c r="V114" s="12"/>
      <c r="W114" s="12"/>
      <c r="X114" s="12"/>
      <c r="Y114" s="12"/>
      <c r="Z114" s="12"/>
      <c r="AA114" s="12"/>
      <c r="AB114" s="12"/>
      <c r="AC114" s="13">
        <f t="shared" si="19"/>
        <v>0</v>
      </c>
    </row>
    <row r="115" spans="1:30" x14ac:dyDescent="0.2">
      <c r="A115" s="39" t="s">
        <v>82</v>
      </c>
      <c r="B115" s="12"/>
      <c r="C115" s="12"/>
      <c r="D115" s="12"/>
      <c r="E115" s="12"/>
      <c r="F115" s="12"/>
      <c r="G115" s="12"/>
      <c r="H115" s="12"/>
      <c r="I115" s="12"/>
      <c r="K115" s="12"/>
      <c r="L115" s="12"/>
      <c r="M115" s="12"/>
      <c r="N115" s="12"/>
      <c r="O115" s="12"/>
      <c r="P115" s="12"/>
      <c r="Q115" s="12"/>
      <c r="R115" s="12"/>
      <c r="S115" s="12"/>
      <c r="T115" s="12"/>
      <c r="U115" s="12"/>
      <c r="V115" s="12"/>
      <c r="W115" s="12"/>
      <c r="X115" s="12"/>
      <c r="Y115" s="12"/>
      <c r="Z115" s="12"/>
      <c r="AA115" s="12"/>
      <c r="AB115" s="12"/>
      <c r="AC115" s="13">
        <f t="shared" si="19"/>
        <v>0</v>
      </c>
    </row>
    <row r="116" spans="1:30" x14ac:dyDescent="0.2">
      <c r="A116" s="39" t="s">
        <v>84</v>
      </c>
      <c r="B116" s="12"/>
      <c r="C116" s="12"/>
      <c r="D116" s="12"/>
      <c r="E116" s="12"/>
      <c r="F116" s="12"/>
      <c r="G116" s="12"/>
      <c r="H116" s="12"/>
      <c r="I116" s="12"/>
      <c r="J116" s="8">
        <f>2750</f>
        <v>2750</v>
      </c>
      <c r="K116" s="12"/>
      <c r="L116" s="12"/>
      <c r="M116" s="12"/>
      <c r="N116" s="12"/>
      <c r="O116" s="12"/>
      <c r="P116" s="12"/>
      <c r="Q116" s="12"/>
      <c r="R116" s="12"/>
      <c r="S116" s="12"/>
      <c r="T116" s="12"/>
      <c r="U116" s="12"/>
      <c r="V116" s="12"/>
      <c r="W116" s="12"/>
      <c r="X116" s="12"/>
      <c r="Y116" s="12"/>
      <c r="Z116" s="12"/>
      <c r="AA116" s="12"/>
      <c r="AB116" s="12"/>
      <c r="AC116" s="13">
        <f t="shared" si="19"/>
        <v>2750</v>
      </c>
    </row>
    <row r="117" spans="1:30" x14ac:dyDescent="0.2">
      <c r="A117" s="39" t="s">
        <v>85</v>
      </c>
      <c r="B117" s="12"/>
      <c r="C117" s="12"/>
      <c r="D117" s="12"/>
      <c r="E117" s="12"/>
      <c r="F117" s="12"/>
      <c r="G117" s="12"/>
      <c r="H117" s="12"/>
      <c r="I117" s="12"/>
      <c r="J117" s="8">
        <f>2750</f>
        <v>2750</v>
      </c>
      <c r="K117" s="12"/>
      <c r="L117" s="12"/>
      <c r="M117" s="12"/>
      <c r="N117" s="12"/>
      <c r="O117" s="12"/>
      <c r="P117" s="12"/>
      <c r="Q117" s="12"/>
      <c r="R117" s="12"/>
      <c r="S117" s="12"/>
      <c r="T117" s="12"/>
      <c r="U117" s="12"/>
      <c r="V117" s="12"/>
      <c r="W117" s="12"/>
      <c r="X117" s="12"/>
      <c r="Y117" s="12"/>
      <c r="Z117" s="12"/>
      <c r="AA117" s="12"/>
      <c r="AB117" s="12"/>
      <c r="AC117" s="13">
        <f t="shared" si="19"/>
        <v>2750</v>
      </c>
    </row>
    <row r="118" spans="1:30" x14ac:dyDescent="0.2">
      <c r="A118" s="39" t="s">
        <v>87</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3">
        <f t="shared" si="19"/>
        <v>0</v>
      </c>
    </row>
    <row r="119" spans="1:30" x14ac:dyDescent="0.2">
      <c r="A119" s="39" t="s">
        <v>114</v>
      </c>
      <c r="B119" s="12"/>
      <c r="C119" s="12"/>
      <c r="D119" s="12"/>
      <c r="E119" s="12"/>
      <c r="F119" s="12"/>
      <c r="G119" s="12"/>
      <c r="H119" s="12"/>
      <c r="J119" s="8">
        <f>5500</f>
        <v>5500</v>
      </c>
      <c r="M119" s="12"/>
      <c r="N119" s="12"/>
      <c r="O119" s="12"/>
      <c r="P119" s="12"/>
      <c r="Q119" s="12"/>
      <c r="R119" s="12"/>
      <c r="S119" s="12"/>
      <c r="T119" s="12"/>
      <c r="U119" s="12"/>
      <c r="V119" s="12"/>
      <c r="W119" s="12"/>
      <c r="X119" s="12"/>
      <c r="Y119" s="12"/>
      <c r="Z119" s="12"/>
      <c r="AA119" s="12"/>
      <c r="AB119" s="12"/>
      <c r="AC119" s="13">
        <f t="shared" si="19"/>
        <v>5500</v>
      </c>
    </row>
    <row r="120" spans="1:30" x14ac:dyDescent="0.2">
      <c r="A120" s="39"/>
      <c r="B120" s="12"/>
      <c r="C120" s="12"/>
      <c r="D120" s="12"/>
      <c r="E120" s="12"/>
      <c r="F120" s="12"/>
      <c r="G120" s="12"/>
      <c r="H120" s="12"/>
      <c r="M120" s="12"/>
      <c r="N120" s="12"/>
      <c r="O120" s="12"/>
      <c r="P120" s="12"/>
      <c r="Q120" s="12"/>
      <c r="R120" s="12"/>
      <c r="S120" s="12"/>
      <c r="T120" s="12"/>
      <c r="U120" s="12"/>
      <c r="V120" s="12"/>
      <c r="W120" s="12"/>
      <c r="X120" s="12"/>
      <c r="Y120" s="12"/>
      <c r="Z120" s="12"/>
      <c r="AA120" s="12"/>
      <c r="AB120" s="12"/>
      <c r="AC120" s="13"/>
    </row>
    <row r="121" spans="1:30" x14ac:dyDescent="0.2">
      <c r="A121" s="61" t="s">
        <v>138</v>
      </c>
      <c r="B121" s="12"/>
      <c r="C121" s="12"/>
      <c r="D121" s="12"/>
      <c r="E121" s="12"/>
      <c r="F121" s="12"/>
      <c r="G121" s="12"/>
      <c r="H121" s="12"/>
      <c r="M121" s="12"/>
      <c r="N121" s="12"/>
      <c r="O121" s="12"/>
      <c r="P121" s="12"/>
      <c r="Q121" s="12"/>
      <c r="R121" s="12"/>
      <c r="S121" s="12"/>
      <c r="T121" s="12"/>
      <c r="U121" s="12"/>
      <c r="V121" s="12"/>
      <c r="W121" s="12"/>
      <c r="X121" s="12"/>
      <c r="Y121" s="12"/>
      <c r="Z121" s="12"/>
      <c r="AA121" s="12"/>
      <c r="AB121" s="12"/>
      <c r="AC121" s="13"/>
    </row>
    <row r="122" spans="1:30" x14ac:dyDescent="0.2">
      <c r="A122" s="39" t="s">
        <v>139</v>
      </c>
      <c r="B122" s="12"/>
      <c r="C122" s="12"/>
      <c r="D122" s="12"/>
      <c r="E122" s="12"/>
      <c r="F122" s="12"/>
      <c r="G122" s="12"/>
      <c r="H122" s="12"/>
      <c r="M122" s="12"/>
      <c r="N122" s="12"/>
      <c r="O122" s="12"/>
      <c r="P122" s="12"/>
      <c r="Q122" s="12"/>
      <c r="R122" s="12"/>
      <c r="S122" s="12"/>
      <c r="T122" s="12"/>
      <c r="U122" s="12"/>
      <c r="V122" s="12"/>
      <c r="W122" s="12"/>
      <c r="X122" s="12"/>
      <c r="Y122" s="12"/>
      <c r="Z122" s="12"/>
      <c r="AA122" s="12">
        <f>B12*0.12*24/12</f>
        <v>264000</v>
      </c>
      <c r="AB122" s="12"/>
      <c r="AC122" s="13">
        <f t="shared" ref="AC122:AC127" si="20">SUM(B122:AB122)</f>
        <v>264000</v>
      </c>
    </row>
    <row r="123" spans="1:30" x14ac:dyDescent="0.2">
      <c r="A123" s="39" t="s">
        <v>140</v>
      </c>
      <c r="B123" s="12"/>
      <c r="C123" s="12"/>
      <c r="D123" s="12"/>
      <c r="E123" s="12"/>
      <c r="F123" s="12"/>
      <c r="G123" s="12"/>
      <c r="H123" s="12"/>
      <c r="M123" s="12"/>
      <c r="N123" s="12"/>
      <c r="O123" s="12"/>
      <c r="P123" s="12"/>
      <c r="Q123" s="12"/>
      <c r="R123" s="12"/>
      <c r="S123" s="12"/>
      <c r="T123" s="12"/>
      <c r="U123" s="12"/>
      <c r="V123" s="12"/>
      <c r="W123" s="12"/>
      <c r="X123" s="12"/>
      <c r="Y123" s="12"/>
      <c r="Z123" s="12"/>
      <c r="AA123" s="12">
        <f>B11*0.12*24/12</f>
        <v>48000</v>
      </c>
      <c r="AB123" s="12"/>
      <c r="AC123" s="13">
        <f t="shared" si="20"/>
        <v>48000</v>
      </c>
    </row>
    <row r="124" spans="1:30" x14ac:dyDescent="0.2">
      <c r="A124" s="39" t="s">
        <v>141</v>
      </c>
      <c r="B124" s="12"/>
      <c r="C124" s="12"/>
      <c r="D124" s="12"/>
      <c r="E124" s="12"/>
      <c r="F124" s="12"/>
      <c r="G124" s="12"/>
      <c r="H124" s="12"/>
      <c r="M124" s="12"/>
      <c r="N124" s="12"/>
      <c r="O124" s="12"/>
      <c r="P124" s="12"/>
      <c r="Q124" s="12"/>
      <c r="R124" s="12"/>
      <c r="S124" s="12"/>
      <c r="T124" s="12"/>
      <c r="U124" s="12"/>
      <c r="V124" s="12"/>
      <c r="W124" s="12"/>
      <c r="X124" s="12"/>
      <c r="Y124" s="12"/>
      <c r="Z124" s="12"/>
      <c r="AA124" s="12">
        <f>B12</f>
        <v>1100000</v>
      </c>
      <c r="AB124" s="12"/>
      <c r="AC124" s="13">
        <f t="shared" si="20"/>
        <v>1100000</v>
      </c>
    </row>
    <row r="125" spans="1:30" x14ac:dyDescent="0.2">
      <c r="A125" s="39" t="s">
        <v>142</v>
      </c>
      <c r="B125" s="12"/>
      <c r="C125" s="12"/>
      <c r="D125" s="12"/>
      <c r="E125" s="12"/>
      <c r="F125" s="12"/>
      <c r="G125" s="12"/>
      <c r="H125" s="12"/>
      <c r="M125" s="12"/>
      <c r="N125" s="12"/>
      <c r="O125" s="12"/>
      <c r="P125" s="12"/>
      <c r="Q125" s="12"/>
      <c r="R125" s="12"/>
      <c r="S125" s="12"/>
      <c r="T125" s="12"/>
      <c r="U125" s="12"/>
      <c r="V125" s="12"/>
      <c r="W125" s="12"/>
      <c r="X125" s="12"/>
      <c r="Y125" s="12"/>
      <c r="Z125" s="12"/>
      <c r="AA125" s="12">
        <f>B11</f>
        <v>200000</v>
      </c>
      <c r="AB125" s="12"/>
      <c r="AC125" s="13">
        <f t="shared" si="20"/>
        <v>200000</v>
      </c>
    </row>
    <row r="126" spans="1:30" x14ac:dyDescent="0.2">
      <c r="A126" s="39" t="s">
        <v>143</v>
      </c>
      <c r="B126" s="12"/>
      <c r="C126" s="12"/>
      <c r="D126" s="12"/>
      <c r="E126" s="12"/>
      <c r="F126" s="12"/>
      <c r="G126" s="12"/>
      <c r="H126" s="12"/>
      <c r="M126" s="12"/>
      <c r="N126" s="12"/>
      <c r="O126" s="12"/>
      <c r="P126" s="12"/>
      <c r="Q126" s="12"/>
      <c r="R126" s="12"/>
      <c r="S126" s="12"/>
      <c r="T126" s="12"/>
      <c r="U126" s="12"/>
      <c r="V126" s="12"/>
      <c r="W126" s="12"/>
      <c r="X126" s="12"/>
      <c r="Y126" s="12"/>
      <c r="Z126" s="12"/>
      <c r="AA126" s="12"/>
      <c r="AB126" s="12">
        <f>(AB5+AB20-SUM(AB24:AB125))/2</f>
        <v>393404.62084442395</v>
      </c>
      <c r="AC126" s="13">
        <f t="shared" si="20"/>
        <v>393404.62084442395</v>
      </c>
      <c r="AD126" s="10"/>
    </row>
    <row r="127" spans="1:30" x14ac:dyDescent="0.2">
      <c r="A127" s="39" t="s">
        <v>144</v>
      </c>
      <c r="B127" s="12"/>
      <c r="C127" s="12"/>
      <c r="D127" s="12"/>
      <c r="E127" s="12"/>
      <c r="F127" s="12"/>
      <c r="G127" s="12"/>
      <c r="H127" s="12"/>
      <c r="M127" s="12"/>
      <c r="N127" s="12"/>
      <c r="O127" s="12"/>
      <c r="P127" s="12"/>
      <c r="Q127" s="12"/>
      <c r="R127" s="12"/>
      <c r="S127" s="12"/>
      <c r="T127" s="12"/>
      <c r="U127" s="12"/>
      <c r="V127" s="12"/>
      <c r="W127" s="12"/>
      <c r="X127" s="12"/>
      <c r="Y127" s="12"/>
      <c r="Z127" s="12"/>
      <c r="AA127" s="12"/>
      <c r="AB127" s="12">
        <f>AB126</f>
        <v>393404.62084442395</v>
      </c>
      <c r="AC127" s="13">
        <f t="shared" si="20"/>
        <v>393404.62084442395</v>
      </c>
    </row>
    <row r="128" spans="1:30" x14ac:dyDescent="0.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3"/>
    </row>
    <row r="129" spans="1:33" x14ac:dyDescent="0.2">
      <c r="A129" s="9" t="s">
        <v>3</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f>(AC18-AC24-AC25)/11</f>
        <v>386363.63636363635</v>
      </c>
      <c r="AB129" s="12"/>
      <c r="AC129" s="13">
        <f>SUM(B129:AB129)</f>
        <v>386363.63636363635</v>
      </c>
      <c r="AD129" s="10"/>
      <c r="AE129" s="10"/>
      <c r="AF129" s="10"/>
      <c r="AG129" s="10"/>
    </row>
    <row r="130" spans="1:33" x14ac:dyDescent="0.2">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3"/>
    </row>
    <row r="131" spans="1:33" x14ac:dyDescent="0.2">
      <c r="A131" s="9" t="s">
        <v>19</v>
      </c>
      <c r="B131" s="13">
        <f>SUM(B24:B130)</f>
        <v>148986.25</v>
      </c>
      <c r="C131" s="13">
        <f t="shared" ref="C131:AB131" si="21">SUM(C24:C130)</f>
        <v>16536.25</v>
      </c>
      <c r="D131" s="13">
        <f t="shared" si="21"/>
        <v>1076261.25</v>
      </c>
      <c r="E131" s="13">
        <f t="shared" si="21"/>
        <v>15850.8125</v>
      </c>
      <c r="F131" s="13">
        <f t="shared" si="21"/>
        <v>24992.10717013889</v>
      </c>
      <c r="G131" s="13">
        <f t="shared" si="21"/>
        <v>35323.467725853581</v>
      </c>
      <c r="H131" s="13">
        <f t="shared" si="21"/>
        <v>10384.894551476624</v>
      </c>
      <c r="I131" s="13">
        <f t="shared" si="21"/>
        <v>20213.52403358246</v>
      </c>
      <c r="J131" s="13">
        <f t="shared" si="21"/>
        <v>65657.94856100058</v>
      </c>
      <c r="K131" s="13">
        <f t="shared" si="21"/>
        <v>48919.576524828641</v>
      </c>
      <c r="L131" s="13">
        <f t="shared" si="21"/>
        <v>72306.272318445699</v>
      </c>
      <c r="M131" s="13">
        <f t="shared" si="21"/>
        <v>64343.036337525518</v>
      </c>
      <c r="N131" s="13">
        <f t="shared" si="21"/>
        <v>144109.03564671666</v>
      </c>
      <c r="O131" s="13">
        <f t="shared" si="21"/>
        <v>43249.408146322487</v>
      </c>
      <c r="P131" s="13">
        <f t="shared" si="21"/>
        <v>216942.3703188427</v>
      </c>
      <c r="Q131" s="13">
        <f t="shared" si="21"/>
        <v>12164.864354035948</v>
      </c>
      <c r="R131" s="13">
        <f t="shared" si="21"/>
        <v>320522.48960443452</v>
      </c>
      <c r="S131" s="13">
        <f t="shared" si="21"/>
        <v>14255.659335460357</v>
      </c>
      <c r="T131" s="13">
        <f t="shared" si="21"/>
        <v>732754.02255658386</v>
      </c>
      <c r="U131" s="13">
        <f t="shared" si="21"/>
        <v>20466.012229830616</v>
      </c>
      <c r="V131" s="13">
        <f t="shared" si="21"/>
        <v>429500.06738283799</v>
      </c>
      <c r="W131" s="13">
        <f t="shared" si="21"/>
        <v>33272.481317571182</v>
      </c>
      <c r="X131" s="13">
        <f t="shared" si="21"/>
        <v>334680.31766692369</v>
      </c>
      <c r="Y131" s="13">
        <f t="shared" si="21"/>
        <v>97663.991394980738</v>
      </c>
      <c r="Z131" s="13">
        <f t="shared" si="21"/>
        <v>2645059.8376773926</v>
      </c>
      <c r="AA131" s="13">
        <f t="shared" si="21"/>
        <v>1999293.6363636362</v>
      </c>
      <c r="AB131" s="13">
        <f t="shared" si="21"/>
        <v>789939.24168884789</v>
      </c>
      <c r="AC131" s="13">
        <f>SUM(AC24:AC129)</f>
        <v>9433648.8254072703</v>
      </c>
    </row>
    <row r="132" spans="1:33" s="9" customFormat="1" x14ac:dyDescent="0.2">
      <c r="A132" s="8"/>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3"/>
      <c r="AD132" s="8"/>
      <c r="AE132" s="15"/>
    </row>
    <row r="133" spans="1:33" ht="13.5" thickBot="1" x14ac:dyDescent="0.25">
      <c r="A133" s="9" t="s">
        <v>8</v>
      </c>
      <c r="B133" s="16">
        <f t="shared" ref="B133:AB133" si="22">B5+B20-B131</f>
        <v>1151013.75</v>
      </c>
      <c r="C133" s="16">
        <f t="shared" si="22"/>
        <v>1141324.1953125</v>
      </c>
      <c r="D133" s="16">
        <f t="shared" si="22"/>
        <v>398939.45405273442</v>
      </c>
      <c r="E133" s="16">
        <f t="shared" si="22"/>
        <v>388908.66693049582</v>
      </c>
      <c r="F133" s="16">
        <f t="shared" si="22"/>
        <v>369756.76531646209</v>
      </c>
      <c r="G133" s="16">
        <f t="shared" si="22"/>
        <v>341074.89802182338</v>
      </c>
      <c r="H133" s="16">
        <f t="shared" si="22"/>
        <v>338198.66511253366</v>
      </c>
      <c r="I133" s="16">
        <f t="shared" si="22"/>
        <v>323253.78284941224</v>
      </c>
      <c r="J133" s="16">
        <f t="shared" si="22"/>
        <v>262844.83436959708</v>
      </c>
      <c r="K133" s="16">
        <f t="shared" si="22"/>
        <v>224059.96647737236</v>
      </c>
      <c r="L133" s="16">
        <f t="shared" si="22"/>
        <v>160319.22894724982</v>
      </c>
      <c r="M133" s="16">
        <f t="shared" si="22"/>
        <v>106545.62998847675</v>
      </c>
      <c r="N133" s="16">
        <f t="shared" si="22"/>
        <v>72324.70680236764</v>
      </c>
      <c r="O133" s="16">
        <f t="shared" si="22"/>
        <v>44749.328957084901</v>
      </c>
      <c r="P133" s="16">
        <f t="shared" si="22"/>
        <v>38291.5009926192</v>
      </c>
      <c r="Q133" s="16">
        <f t="shared" si="22"/>
        <v>49569.641091754005</v>
      </c>
      <c r="R133" s="16">
        <f t="shared" si="22"/>
        <v>39941.641838268319</v>
      </c>
      <c r="S133" s="16">
        <f t="shared" si="22"/>
        <v>60399.450143980983</v>
      </c>
      <c r="T133" s="16">
        <f t="shared" si="22"/>
        <v>48568.411568095442</v>
      </c>
      <c r="U133" s="16">
        <f t="shared" si="22"/>
        <v>104538.74493844912</v>
      </c>
      <c r="V133" s="16">
        <f t="shared" si="22"/>
        <v>94694.529810811335</v>
      </c>
      <c r="W133" s="16">
        <f t="shared" si="22"/>
        <v>112857.01902121608</v>
      </c>
      <c r="X133" s="16">
        <f t="shared" si="22"/>
        <v>98586.464825686184</v>
      </c>
      <c r="Y133" s="16">
        <f t="shared" si="22"/>
        <v>45696.278845290144</v>
      </c>
      <c r="Z133" s="16">
        <f t="shared" si="22"/>
        <v>2767472.0105400872</v>
      </c>
      <c r="AA133" s="16">
        <f t="shared" si="22"/>
        <v>788217.1226832578</v>
      </c>
      <c r="AB133" s="16">
        <f t="shared" si="22"/>
        <v>0</v>
      </c>
      <c r="AC133" s="13">
        <f>AC20-AC131</f>
        <v>0</v>
      </c>
    </row>
    <row r="134" spans="1:33" ht="13.5" thickTop="1" x14ac:dyDescent="0.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3"/>
    </row>
    <row r="135" spans="1:33" x14ac:dyDescent="0.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3"/>
    </row>
    <row r="136" spans="1:33" x14ac:dyDescent="0.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7"/>
    </row>
    <row r="137" spans="1:33" x14ac:dyDescent="0.2">
      <c r="N137" s="10"/>
      <c r="V137" s="10"/>
    </row>
    <row r="138" spans="1:33" x14ac:dyDescent="0.2">
      <c r="N138" s="24"/>
      <c r="V138" s="10"/>
    </row>
    <row r="139" spans="1:33" x14ac:dyDescent="0.2">
      <c r="U139" s="10"/>
    </row>
    <row r="142" spans="1:33" x14ac:dyDescent="0.2">
      <c r="L142" s="10"/>
      <c r="W142"/>
      <c r="X142"/>
      <c r="Y142"/>
      <c r="Z142"/>
      <c r="AA142"/>
      <c r="AB142" s="20"/>
    </row>
    <row r="144" spans="1:33" x14ac:dyDescent="0.2">
      <c r="W144"/>
      <c r="X144"/>
      <c r="Y144"/>
      <c r="Z144"/>
      <c r="AA144"/>
      <c r="AB144" s="18"/>
    </row>
    <row r="146" spans="23:28" x14ac:dyDescent="0.2">
      <c r="W146" s="1"/>
      <c r="X146"/>
      <c r="Y146"/>
      <c r="Z146"/>
      <c r="AA146"/>
      <c r="AB146" s="18"/>
    </row>
    <row r="148" spans="23:28" x14ac:dyDescent="0.2">
      <c r="W148" s="1"/>
      <c r="X148"/>
      <c r="Y148"/>
      <c r="Z148"/>
      <c r="AA148"/>
      <c r="AB148" s="21"/>
    </row>
  </sheetData>
  <mergeCells count="5">
    <mergeCell ref="A1:AC1"/>
    <mergeCell ref="B6:K6"/>
    <mergeCell ref="P6:AB6"/>
    <mergeCell ref="A2:AC2"/>
    <mergeCell ref="A3:AC3"/>
  </mergeCells>
  <phoneticPr fontId="0" type="noConversion"/>
  <pageMargins left="0.38" right="0.74803149606299213" top="0.23" bottom="0.67" header="0.23" footer="0.67"/>
  <pageSetup paperSize="9" scale="55" fitToWidth="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09"/>
  <sheetViews>
    <sheetView workbookViewId="0">
      <selection activeCell="B8" sqref="B8"/>
    </sheetView>
  </sheetViews>
  <sheetFormatPr defaultRowHeight="12.75" x14ac:dyDescent="0.2"/>
  <cols>
    <col min="1" max="1" width="48.28515625" style="8" customWidth="1"/>
    <col min="2" max="4" width="12.28515625" style="8" bestFit="1" customWidth="1"/>
    <col min="5" max="16384" width="9.140625" style="8"/>
  </cols>
  <sheetData>
    <row r="1" spans="1:4" ht="18" x14ac:dyDescent="0.25">
      <c r="A1" s="93" t="str">
        <f>'Profit and Loss'!A1:D1</f>
        <v>Project</v>
      </c>
      <c r="B1" s="93"/>
    </row>
    <row r="2" spans="1:4" ht="18" x14ac:dyDescent="0.25">
      <c r="A2" s="93" t="s">
        <v>134</v>
      </c>
      <c r="B2" s="93"/>
    </row>
    <row r="3" spans="1:4" ht="18" x14ac:dyDescent="0.25">
      <c r="A3" s="93"/>
      <c r="B3" s="93"/>
    </row>
    <row r="4" spans="1:4" x14ac:dyDescent="0.2">
      <c r="A4" s="9" t="s">
        <v>165</v>
      </c>
      <c r="B4" s="9" t="s">
        <v>187</v>
      </c>
    </row>
    <row r="5" spans="1:4" x14ac:dyDescent="0.2">
      <c r="B5" s="12"/>
      <c r="C5" s="10"/>
      <c r="D5" s="10"/>
    </row>
    <row r="6" spans="1:4" x14ac:dyDescent="0.2">
      <c r="A6" s="9" t="str">
        <f>'Project Cashflow'!A23</f>
        <v>Acquisition Costs</v>
      </c>
      <c r="B6" s="12"/>
      <c r="D6" s="17"/>
    </row>
    <row r="7" spans="1:4" x14ac:dyDescent="0.2">
      <c r="A7" s="8" t="str">
        <f>'Project Cashflow'!A24</f>
        <v>Deposit On Property</v>
      </c>
      <c r="B7" s="12">
        <f>SUM('Project Cashflow'!B24:M24)</f>
        <v>100000</v>
      </c>
    </row>
    <row r="8" spans="1:4" x14ac:dyDescent="0.2">
      <c r="A8" s="8" t="str">
        <f>'Project Cashflow'!A25</f>
        <v>Balance of Purchase Price</v>
      </c>
      <c r="B8" s="12">
        <f>SUM('Project Cashflow'!B25:M25)-'Project Cashflow'!D15</f>
        <v>670000</v>
      </c>
    </row>
    <row r="9" spans="1:4" x14ac:dyDescent="0.2">
      <c r="A9" s="8" t="str">
        <f>'Project Cashflow'!A26</f>
        <v>Stamp Duty</v>
      </c>
      <c r="B9" s="12">
        <f>SUM('Project Cashflow'!B26:M26)</f>
        <v>60500</v>
      </c>
    </row>
    <row r="10" spans="1:4" x14ac:dyDescent="0.2">
      <c r="A10" s="8" t="str">
        <f>'Project Cashflow'!A27</f>
        <v>Settlement Adjustments</v>
      </c>
      <c r="B10" s="12">
        <f>SUM('Project Cashflow'!B27:M27)</f>
        <v>2000</v>
      </c>
    </row>
    <row r="11" spans="1:4" x14ac:dyDescent="0.2">
      <c r="B11" s="12"/>
    </row>
    <row r="12" spans="1:4" x14ac:dyDescent="0.2">
      <c r="A12" s="9" t="str">
        <f>'Project Cashflow'!A29</f>
        <v>Design and Planning Costs</v>
      </c>
      <c r="B12" s="12"/>
    </row>
    <row r="13" spans="1:4" x14ac:dyDescent="0.2">
      <c r="A13" s="8" t="str">
        <f>'Project Cashflow'!A30</f>
        <v>3D Renders for Planning</v>
      </c>
      <c r="B13" s="12">
        <f>SUM('Project Cashflow'!B30:M30)</f>
        <v>2750</v>
      </c>
    </row>
    <row r="14" spans="1:4" x14ac:dyDescent="0.2">
      <c r="A14" s="8" t="str">
        <f>'Project Cashflow'!A31</f>
        <v>Archaeological Assessment</v>
      </c>
      <c r="B14" s="12">
        <f>SUM('Project Cashflow'!B31:M31)</f>
        <v>0</v>
      </c>
    </row>
    <row r="15" spans="1:4" x14ac:dyDescent="0.2">
      <c r="A15" s="8" t="str">
        <f>'Project Cashflow'!A32</f>
        <v>Architect</v>
      </c>
      <c r="B15" s="12">
        <f>SUM('Project Cashflow'!B32:M32)</f>
        <v>16500</v>
      </c>
    </row>
    <row r="16" spans="1:4" x14ac:dyDescent="0.2">
      <c r="A16" s="8" t="str">
        <f>'Project Cashflow'!A33</f>
        <v>Civil Engineer</v>
      </c>
      <c r="B16" s="12">
        <f>SUM('Project Cashflow'!B33:M33)</f>
        <v>2200</v>
      </c>
    </row>
    <row r="17" spans="1:2" x14ac:dyDescent="0.2">
      <c r="A17" s="8" t="str">
        <f>'Project Cashflow'!A34</f>
        <v>Contamination report</v>
      </c>
      <c r="B17" s="12">
        <f>SUM('Project Cashflow'!B34:M34)</f>
        <v>0</v>
      </c>
    </row>
    <row r="18" spans="1:2" x14ac:dyDescent="0.2">
      <c r="A18" s="8" t="str">
        <f>'Project Cashflow'!A35</f>
        <v>Draftsman</v>
      </c>
      <c r="B18" s="12">
        <f>SUM('Project Cashflow'!B35:M35)</f>
        <v>27500.000000000004</v>
      </c>
    </row>
    <row r="19" spans="1:2" x14ac:dyDescent="0.2">
      <c r="A19" s="8" t="str">
        <f>'Project Cashflow'!A36</f>
        <v>Electrical Engineer</v>
      </c>
      <c r="B19" s="12">
        <f>SUM('Project Cashflow'!B36:M36)</f>
        <v>0</v>
      </c>
    </row>
    <row r="20" spans="1:2" x14ac:dyDescent="0.2">
      <c r="A20" s="8" t="str">
        <f>'Project Cashflow'!A37</f>
        <v>Energy Efficiency Ratings</v>
      </c>
      <c r="B20" s="12">
        <f>SUM('Project Cashflow'!B37:M37)</f>
        <v>2100</v>
      </c>
    </row>
    <row r="21" spans="1:2" x14ac:dyDescent="0.2">
      <c r="A21" s="8" t="str">
        <f>'Project Cashflow'!A38</f>
        <v>Environment and Sustainability Development</v>
      </c>
      <c r="B21" s="12">
        <f>SUM('Project Cashflow'!B38:M38)</f>
        <v>0</v>
      </c>
    </row>
    <row r="22" spans="1:2" x14ac:dyDescent="0.2">
      <c r="A22" s="8" t="str">
        <f>'Project Cashflow'!A39</f>
        <v>Fauna and Flora Assessment</v>
      </c>
      <c r="B22" s="12">
        <f>SUM('Project Cashflow'!B39:M39)</f>
        <v>0</v>
      </c>
    </row>
    <row r="23" spans="1:2" x14ac:dyDescent="0.2">
      <c r="A23" s="8" t="str">
        <f>'Project Cashflow'!A40</f>
        <v>Fire Consultant</v>
      </c>
      <c r="B23" s="12">
        <f>SUM('Project Cashflow'!B40:M40)</f>
        <v>0</v>
      </c>
    </row>
    <row r="24" spans="1:2" x14ac:dyDescent="0.2">
      <c r="A24" s="8" t="str">
        <f>'Project Cashflow'!A41</f>
        <v>Geotechnical/Soil Test</v>
      </c>
      <c r="B24" s="12">
        <f>SUM('Project Cashflow'!B41:M41)</f>
        <v>880</v>
      </c>
    </row>
    <row r="25" spans="1:2" x14ac:dyDescent="0.2">
      <c r="A25" s="8" t="str">
        <f>'Project Cashflow'!A42</f>
        <v>Hydraulic Engineer</v>
      </c>
      <c r="B25" s="12">
        <f>SUM('Project Cashflow'!B42:M42)</f>
        <v>0</v>
      </c>
    </row>
    <row r="26" spans="1:2" x14ac:dyDescent="0.2">
      <c r="A26" s="8" t="str">
        <f>'Project Cashflow'!A43</f>
        <v>Interior Deisng Consultant</v>
      </c>
      <c r="B26" s="12">
        <f>SUM('Project Cashflow'!B43:M43)</f>
        <v>0</v>
      </c>
    </row>
    <row r="27" spans="1:2" x14ac:dyDescent="0.2">
      <c r="A27" s="8" t="str">
        <f>'Project Cashflow'!A44</f>
        <v>Land Scaping Design</v>
      </c>
      <c r="B27" s="12">
        <f>SUM('Project Cashflow'!B44:M44)</f>
        <v>2750</v>
      </c>
    </row>
    <row r="28" spans="1:2" x14ac:dyDescent="0.2">
      <c r="A28" s="8" t="str">
        <f>'Project Cashflow'!A45</f>
        <v>Land Surveyor</v>
      </c>
      <c r="B28" s="12">
        <f>SUM('Project Cashflow'!B45:M45)</f>
        <v>2750</v>
      </c>
    </row>
    <row r="29" spans="1:2" x14ac:dyDescent="0.2">
      <c r="A29" s="8" t="str">
        <f>'Project Cashflow'!A46</f>
        <v>Mechanical Engineer</v>
      </c>
      <c r="B29" s="12">
        <f>SUM('Project Cashflow'!B46:M46)</f>
        <v>0</v>
      </c>
    </row>
    <row r="30" spans="1:2" x14ac:dyDescent="0.2">
      <c r="A30" s="8" t="str">
        <f>'Project Cashflow'!A47</f>
        <v>Structural engineer</v>
      </c>
      <c r="B30" s="12">
        <f>SUM('Project Cashflow'!B47:M47)</f>
        <v>2750</v>
      </c>
    </row>
    <row r="31" spans="1:2" x14ac:dyDescent="0.2">
      <c r="A31" s="8" t="str">
        <f>'Project Cashflow'!A48</f>
        <v>Town Plan Application/Permit Fees</v>
      </c>
      <c r="B31" s="12">
        <f>SUM('Project Cashflow'!B48:M48)</f>
        <v>1150</v>
      </c>
    </row>
    <row r="32" spans="1:2" x14ac:dyDescent="0.2">
      <c r="A32" s="8" t="str">
        <f>'Project Cashflow'!A49</f>
        <v>Town Planning consultant</v>
      </c>
      <c r="B32" s="12">
        <f>SUM('Project Cashflow'!B49:M49)</f>
        <v>22000</v>
      </c>
    </row>
    <row r="33" spans="1:2" x14ac:dyDescent="0.2">
      <c r="A33" s="8" t="str">
        <f>'Project Cashflow'!A50</f>
        <v>Traffic Engineer</v>
      </c>
      <c r="B33" s="12">
        <f>SUM('Project Cashflow'!B50:M50)</f>
        <v>0</v>
      </c>
    </row>
    <row r="34" spans="1:2" x14ac:dyDescent="0.2">
      <c r="A34" s="8" t="str">
        <f>'Project Cashflow'!A51</f>
        <v>VCAT Allowance</v>
      </c>
      <c r="B34" s="12">
        <f>SUM('Project Cashflow'!B51:M51)</f>
        <v>0</v>
      </c>
    </row>
    <row r="35" spans="1:2" x14ac:dyDescent="0.2">
      <c r="B35" s="12"/>
    </row>
    <row r="36" spans="1:2" x14ac:dyDescent="0.2">
      <c r="A36" s="9" t="str">
        <f>'Project Cashflow'!A53</f>
        <v>Contributions and Charges</v>
      </c>
      <c r="B36" s="12"/>
    </row>
    <row r="37" spans="1:2" x14ac:dyDescent="0.2">
      <c r="A37" s="8" t="str">
        <f>'Project Cashflow'!A54</f>
        <v>Application Fees</v>
      </c>
      <c r="B37" s="12">
        <f>SUM('Project Cashflow'!B54:M54)</f>
        <v>0</v>
      </c>
    </row>
    <row r="38" spans="1:2" x14ac:dyDescent="0.2">
      <c r="A38" s="8" t="str">
        <f>'Project Cashflow'!A55</f>
        <v>Councill Open Space Contribution</v>
      </c>
      <c r="B38" s="12">
        <f>SUM('Project Cashflow'!B55:M55)</f>
        <v>0</v>
      </c>
    </row>
    <row r="39" spans="1:2" x14ac:dyDescent="0.2">
      <c r="A39" s="8" t="str">
        <f>'Project Cashflow'!A56</f>
        <v>Electricity Sub Station</v>
      </c>
      <c r="B39" s="12">
        <f>SUM('Project Cashflow'!B56:M56)</f>
        <v>0</v>
      </c>
    </row>
    <row r="40" spans="1:2" x14ac:dyDescent="0.2">
      <c r="A40" s="8" t="str">
        <f>'Project Cashflow'!A57</f>
        <v>Fire Service Levy</v>
      </c>
      <c r="B40" s="12">
        <f>SUM('Project Cashflow'!B57:M57)</f>
        <v>0</v>
      </c>
    </row>
    <row r="41" spans="1:2" x14ac:dyDescent="0.2">
      <c r="A41" s="8" t="str">
        <f>'Project Cashflow'!A58</f>
        <v>Gas,Power,Water,Phone,Intern, connection fees</v>
      </c>
      <c r="B41" s="12">
        <f>SUM('Project Cashflow'!B58:M58)</f>
        <v>0</v>
      </c>
    </row>
    <row r="42" spans="1:2" x14ac:dyDescent="0.2">
      <c r="A42" s="8" t="str">
        <f>'Project Cashflow'!A59</f>
        <v>Sewer Contribution Fees</v>
      </c>
      <c r="B42" s="12">
        <f>SUM('Project Cashflow'!B59:M59)</f>
        <v>0</v>
      </c>
    </row>
    <row r="43" spans="1:2" x14ac:dyDescent="0.2">
      <c r="A43" s="8" t="str">
        <f>'Project Cashflow'!A60</f>
        <v>Water Contribution Fees</v>
      </c>
      <c r="B43" s="12">
        <f>SUM('Project Cashflow'!B60:M60)</f>
        <v>0</v>
      </c>
    </row>
    <row r="44" spans="1:2" x14ac:dyDescent="0.2">
      <c r="A44" s="8" t="str">
        <f>'Project Cashflow'!A61</f>
        <v>Bonds - Refundable</v>
      </c>
      <c r="B44" s="12">
        <f>SUM('Project Cashflow'!B61:M61)</f>
        <v>0</v>
      </c>
    </row>
    <row r="45" spans="1:2" x14ac:dyDescent="0.2">
      <c r="B45" s="12"/>
    </row>
    <row r="46" spans="1:2" x14ac:dyDescent="0.2">
      <c r="A46" s="9" t="str">
        <f>'Project Cashflow'!A63</f>
        <v>Holding Costs</v>
      </c>
      <c r="B46" s="12"/>
    </row>
    <row r="47" spans="1:2" x14ac:dyDescent="0.2">
      <c r="A47" s="8" t="str">
        <f>'Project Cashflow'!A64</f>
        <v>Council Rates</v>
      </c>
      <c r="B47" s="12">
        <f>SUM('Project Cashflow'!B64:M64)</f>
        <v>2204.136</v>
      </c>
    </row>
    <row r="48" spans="1:2" x14ac:dyDescent="0.2">
      <c r="A48" s="8" t="str">
        <f>'Project Cashflow'!A65</f>
        <v>General Maintnance</v>
      </c>
      <c r="B48" s="12">
        <f>SUM('Project Cashflow'!B65:M65)</f>
        <v>1155</v>
      </c>
    </row>
    <row r="49" spans="1:2" x14ac:dyDescent="0.2">
      <c r="A49" s="8" t="str">
        <f>'Project Cashflow'!A66</f>
        <v>Insurances</v>
      </c>
      <c r="B49" s="12">
        <f>SUM('Project Cashflow'!B66:M66)</f>
        <v>2750</v>
      </c>
    </row>
    <row r="50" spans="1:2" x14ac:dyDescent="0.2">
      <c r="A50" s="8" t="str">
        <f>'Project Cashflow'!A67</f>
        <v>Land Tax</v>
      </c>
      <c r="B50" s="12">
        <f>SUM('Project Cashflow'!B67:M67)</f>
        <v>7613</v>
      </c>
    </row>
    <row r="51" spans="1:2" x14ac:dyDescent="0.2">
      <c r="A51" s="8" t="str">
        <f>'Project Cashflow'!A68</f>
        <v>Repairs /Replacement</v>
      </c>
      <c r="B51" s="12">
        <f>SUM('Project Cashflow'!B68:M68)</f>
        <v>0</v>
      </c>
    </row>
    <row r="52" spans="1:2" x14ac:dyDescent="0.2">
      <c r="A52" s="8" t="str">
        <f>'Project Cashflow'!A69</f>
        <v>Water Rates</v>
      </c>
      <c r="B52" s="12">
        <f>SUM('Project Cashflow'!B69:M69)</f>
        <v>1000</v>
      </c>
    </row>
    <row r="53" spans="1:2" x14ac:dyDescent="0.2">
      <c r="B53" s="12"/>
    </row>
    <row r="54" spans="1:2" x14ac:dyDescent="0.2">
      <c r="A54" s="9" t="str">
        <f>'Project Cashflow'!A71</f>
        <v>Entity Costs</v>
      </c>
      <c r="B54" s="12"/>
    </row>
    <row r="55" spans="1:2" x14ac:dyDescent="0.2">
      <c r="A55" s="8" t="str">
        <f>'Project Cashflow'!A72</f>
        <v>Accounting Fees</v>
      </c>
      <c r="B55" s="12">
        <f>SUM('Project Cashflow'!B72:M72)</f>
        <v>11550</v>
      </c>
    </row>
    <row r="56" spans="1:2" x14ac:dyDescent="0.2">
      <c r="A56" s="8" t="str">
        <f>'Project Cashflow'!A73</f>
        <v>Administration Costs</v>
      </c>
      <c r="B56" s="12">
        <f>SUM('Project Cashflow'!B73:M73)</f>
        <v>0</v>
      </c>
    </row>
    <row r="57" spans="1:2" x14ac:dyDescent="0.2">
      <c r="A57" s="8" t="str">
        <f>'Project Cashflow'!A74</f>
        <v>ASIC Filing Fees</v>
      </c>
      <c r="B57" s="12">
        <f>SUM('Project Cashflow'!B74:M74)</f>
        <v>0</v>
      </c>
    </row>
    <row r="58" spans="1:2" x14ac:dyDescent="0.2">
      <c r="A58" s="8" t="str">
        <f>'Project Cashflow'!A75</f>
        <v>Bank Charges</v>
      </c>
      <c r="B58" s="12">
        <f>SUM('Project Cashflow'!B75:M75)</f>
        <v>600</v>
      </c>
    </row>
    <row r="59" spans="1:2" x14ac:dyDescent="0.2">
      <c r="A59" s="8" t="str">
        <f>'Project Cashflow'!A76</f>
        <v>Book Keeping Costs</v>
      </c>
      <c r="B59" s="12">
        <f>SUM('Project Cashflow'!B76:M76)</f>
        <v>3960</v>
      </c>
    </row>
    <row r="60" spans="1:2" x14ac:dyDescent="0.2">
      <c r="A60" s="8" t="str">
        <f>'Project Cashflow'!A77</f>
        <v>Development Management Fees</v>
      </c>
      <c r="B60" s="12">
        <f>SUM('Project Cashflow'!B77:M77)</f>
        <v>88275</v>
      </c>
    </row>
    <row r="61" spans="1:2" x14ac:dyDescent="0.2">
      <c r="A61" s="8" t="str">
        <f>'Project Cashflow'!A78</f>
        <v>Feasibility costs and Investor Document Preparation</v>
      </c>
      <c r="B61" s="12">
        <f>SUM('Project Cashflow'!B78:M78)</f>
        <v>22000</v>
      </c>
    </row>
    <row r="62" spans="1:2" x14ac:dyDescent="0.2">
      <c r="A62" s="8" t="str">
        <f>'Project Cashflow'!A79</f>
        <v>Formation, Entity Setup Costs</v>
      </c>
      <c r="B62" s="12">
        <f>SUM('Project Cashflow'!B79:M79)</f>
        <v>2750</v>
      </c>
    </row>
    <row r="63" spans="1:2" x14ac:dyDescent="0.2">
      <c r="B63" s="12"/>
    </row>
    <row r="64" spans="1:2" x14ac:dyDescent="0.2">
      <c r="A64" s="9" t="str">
        <f>'Project Cashflow'!A81</f>
        <v>Legal Fees</v>
      </c>
      <c r="B64" s="12"/>
    </row>
    <row r="65" spans="1:2" x14ac:dyDescent="0.2">
      <c r="A65" s="8" t="str">
        <f>'Project Cashflow'!A82</f>
        <v>Borrowing documents</v>
      </c>
      <c r="B65" s="12">
        <f>SUM('Project Cashflow'!B82:M82)</f>
        <v>5500</v>
      </c>
    </row>
    <row r="66" spans="1:2" x14ac:dyDescent="0.2">
      <c r="A66" s="8" t="str">
        <f>'Project Cashflow'!A83</f>
        <v>Building Contract</v>
      </c>
      <c r="B66" s="12">
        <f>SUM('Project Cashflow'!B83:M83)</f>
        <v>3850</v>
      </c>
    </row>
    <row r="67" spans="1:2" x14ac:dyDescent="0.2">
      <c r="A67" s="8" t="str">
        <f>'Project Cashflow'!A84</f>
        <v>Consultant contracts</v>
      </c>
      <c r="B67" s="12">
        <f>SUM('Project Cashflow'!B84:M84)</f>
        <v>0</v>
      </c>
    </row>
    <row r="68" spans="1:2" x14ac:dyDescent="0.2">
      <c r="A68" s="8" t="str">
        <f>'Project Cashflow'!A85</f>
        <v>Contract &amp; Vendor Statment</v>
      </c>
      <c r="B68" s="12">
        <f>SUM('Project Cashflow'!B85:M85)</f>
        <v>2750</v>
      </c>
    </row>
    <row r="69" spans="1:2" x14ac:dyDescent="0.2">
      <c r="A69" s="8" t="str">
        <f>'Project Cashflow'!A86</f>
        <v>Investors Agreements</v>
      </c>
      <c r="B69" s="12">
        <f>SUM('Project Cashflow'!B86:M86)</f>
        <v>8250</v>
      </c>
    </row>
    <row r="70" spans="1:2" x14ac:dyDescent="0.2">
      <c r="A70" s="8" t="str">
        <f>'Project Cashflow'!A87</f>
        <v>Lodgment Plan Sub</v>
      </c>
      <c r="B70" s="12">
        <f>SUM('Project Cashflow'!B87:M87)</f>
        <v>0</v>
      </c>
    </row>
    <row r="71" spans="1:2" x14ac:dyDescent="0.2">
      <c r="A71" s="8" t="str">
        <f>'Project Cashflow'!A88</f>
        <v>Purchase Contract</v>
      </c>
      <c r="B71" s="12">
        <f>SUM('Project Cashflow'!B88:M88)</f>
        <v>3300</v>
      </c>
    </row>
    <row r="72" spans="1:2" x14ac:dyDescent="0.2">
      <c r="A72" s="8" t="str">
        <f>'Project Cashflow'!A89</f>
        <v>S173 Agreement</v>
      </c>
      <c r="B72" s="12">
        <f>SUM('Project Cashflow'!B89:M89)</f>
        <v>0</v>
      </c>
    </row>
    <row r="73" spans="1:2" x14ac:dyDescent="0.2">
      <c r="A73" s="8" t="str">
        <f>'Project Cashflow'!A90</f>
        <v>Settlment Legals</v>
      </c>
      <c r="B73" s="12">
        <f>SUM('Project Cashflow'!B90:M90)</f>
        <v>0</v>
      </c>
    </row>
    <row r="74" spans="1:2" x14ac:dyDescent="0.2">
      <c r="B74" s="12"/>
    </row>
    <row r="75" spans="1:2" x14ac:dyDescent="0.2">
      <c r="A75" s="9" t="str">
        <f>'Project Cashflow'!A92</f>
        <v>Constructions Costs</v>
      </c>
      <c r="B75" s="12"/>
    </row>
    <row r="76" spans="1:2" x14ac:dyDescent="0.2">
      <c r="A76" s="8" t="str">
        <f>'Project Cashflow'!A93</f>
        <v>Building Construction Costs</v>
      </c>
      <c r="B76" s="12">
        <f>SUM('Project Cashflow'!B93:M93)</f>
        <v>0</v>
      </c>
    </row>
    <row r="77" spans="1:2" x14ac:dyDescent="0.2">
      <c r="A77" s="8" t="str">
        <f>'Project Cashflow'!A94</f>
        <v>Demolition Costs</v>
      </c>
      <c r="B77" s="12">
        <f>SUM('Project Cashflow'!B94:M94)</f>
        <v>16500</v>
      </c>
    </row>
    <row r="78" spans="1:2" x14ac:dyDescent="0.2">
      <c r="A78" s="8" t="str">
        <f>'Project Cashflow'!A95</f>
        <v>Project Management/Supervision</v>
      </c>
      <c r="B78" s="12">
        <f>SUM('Project Cashflow'!B95:M95)</f>
        <v>0</v>
      </c>
    </row>
    <row r="79" spans="1:2" x14ac:dyDescent="0.2">
      <c r="A79" s="8" t="str">
        <f>'Project Cashflow'!A96</f>
        <v>Security Costs</v>
      </c>
      <c r="B79" s="12">
        <f>SUM('Project Cashflow'!B96:M96)</f>
        <v>0</v>
      </c>
    </row>
    <row r="80" spans="1:2" x14ac:dyDescent="0.2">
      <c r="B80" s="12"/>
    </row>
    <row r="81" spans="1:2" x14ac:dyDescent="0.2">
      <c r="A81" s="9" t="str">
        <f>'Project Cashflow'!A98</f>
        <v>Finance Costs</v>
      </c>
      <c r="B81" s="12"/>
    </row>
    <row r="82" spans="1:2" x14ac:dyDescent="0.2">
      <c r="A82" s="8" t="str">
        <f>'Project Cashflow'!A99</f>
        <v>Brokerage Fees</v>
      </c>
      <c r="B82" s="12">
        <f>SUM('Project Cashflow'!B99:M99)</f>
        <v>15700</v>
      </c>
    </row>
    <row r="83" spans="1:2" x14ac:dyDescent="0.2">
      <c r="A83" s="8" t="str">
        <f>'Project Cashflow'!A100</f>
        <v>Interest Payable - Land Loan</v>
      </c>
      <c r="B83" s="12">
        <f>SUM('Project Cashflow'!B100:M100)-SUM('Project Cashflow'!E15:M15)</f>
        <v>2028.4530041921826</v>
      </c>
    </row>
    <row r="84" spans="1:2" x14ac:dyDescent="0.2">
      <c r="A84" s="8" t="str">
        <f>'Project Cashflow'!A101</f>
        <v>Interest Payable - Development Loan</v>
      </c>
      <c r="B84" s="12">
        <f>SUM('Project Cashflow'!B101:M101)</f>
        <v>0</v>
      </c>
    </row>
    <row r="85" spans="1:2" x14ac:dyDescent="0.2">
      <c r="A85" s="8" t="str">
        <f>'Project Cashflow'!A102</f>
        <v>Loan Repayments - Land Loan</v>
      </c>
      <c r="B85" s="12">
        <f>SUM('Project Cashflow'!B102:M102)</f>
        <v>0</v>
      </c>
    </row>
    <row r="86" spans="1:2" x14ac:dyDescent="0.2">
      <c r="A86" s="8" t="str">
        <f>'Project Cashflow'!A103</f>
        <v>Loan Repayments - Development Loan</v>
      </c>
      <c r="B86" s="12">
        <f>SUM('Project Cashflow'!B103:M103)</f>
        <v>0</v>
      </c>
    </row>
    <row r="87" spans="1:2" x14ac:dyDescent="0.2">
      <c r="A87" s="8" t="str">
        <f>'Project Cashflow'!A104</f>
        <v>QS Fees</v>
      </c>
      <c r="B87" s="12">
        <f>SUM('Project Cashflow'!B104:M104)</f>
        <v>0</v>
      </c>
    </row>
    <row r="88" spans="1:2" x14ac:dyDescent="0.2">
      <c r="A88" s="8" t="str">
        <f>'Project Cashflow'!A105</f>
        <v>Valuation Fee</v>
      </c>
      <c r="B88" s="12">
        <f>SUM('Project Cashflow'!B105:M105)</f>
        <v>3850</v>
      </c>
    </row>
    <row r="89" spans="1:2" x14ac:dyDescent="0.2">
      <c r="B89" s="12"/>
    </row>
    <row r="90" spans="1:2" x14ac:dyDescent="0.2">
      <c r="A90" s="9" t="str">
        <f>'Project Cashflow'!A107</f>
        <v>Sales and Marketing Costs</v>
      </c>
      <c r="B90" s="12"/>
    </row>
    <row r="91" spans="1:2" x14ac:dyDescent="0.2">
      <c r="A91" s="8" t="str">
        <f>'Project Cashflow'!A108</f>
        <v>3 D Renders</v>
      </c>
      <c r="B91" s="12">
        <f>SUM('Project Cashflow'!B108:M108)</f>
        <v>2750</v>
      </c>
    </row>
    <row r="92" spans="1:2" x14ac:dyDescent="0.2">
      <c r="A92" s="8" t="str">
        <f>'Project Cashflow'!A109</f>
        <v>Advertising</v>
      </c>
      <c r="B92" s="12">
        <f>SUM('Project Cashflow'!B109:M109)</f>
        <v>11000</v>
      </c>
    </row>
    <row r="93" spans="1:2" x14ac:dyDescent="0.2">
      <c r="A93" s="8" t="str">
        <f>'Project Cashflow'!A110</f>
        <v>Commissions - Presales</v>
      </c>
      <c r="B93" s="12">
        <f>SUM('Project Cashflow'!B110:M110)</f>
        <v>89375</v>
      </c>
    </row>
    <row r="94" spans="1:2" x14ac:dyDescent="0.2">
      <c r="A94" s="8" t="str">
        <f>'Project Cashflow'!A111</f>
        <v>Commissions - Retail</v>
      </c>
      <c r="B94" s="12">
        <f>SUM('Project Cashflow'!B111:M111)</f>
        <v>0</v>
      </c>
    </row>
    <row r="95" spans="1:2" x14ac:dyDescent="0.2">
      <c r="A95" s="8" t="str">
        <f>'Project Cashflow'!A112</f>
        <v>Display Unit Works</v>
      </c>
      <c r="B95" s="12">
        <f>SUM('Project Cashflow'!B112:M112)</f>
        <v>0</v>
      </c>
    </row>
    <row r="96" spans="1:2" x14ac:dyDescent="0.2">
      <c r="A96" s="8" t="str">
        <f>'Project Cashflow'!A113</f>
        <v>Marketing Material</v>
      </c>
      <c r="B96" s="12">
        <f>SUM('Project Cashflow'!B113:M113)</f>
        <v>16500</v>
      </c>
    </row>
    <row r="97" spans="1:2" x14ac:dyDescent="0.2">
      <c r="A97" s="8" t="str">
        <f>'Project Cashflow'!A114</f>
        <v>Other Marketing</v>
      </c>
      <c r="B97" s="12">
        <f>SUM('Project Cashflow'!B114:M114)</f>
        <v>0</v>
      </c>
    </row>
    <row r="98" spans="1:2" x14ac:dyDescent="0.2">
      <c r="A98" s="8" t="str">
        <f>'Project Cashflow'!A115</f>
        <v>Printing Material</v>
      </c>
      <c r="B98" s="12">
        <f>SUM('Project Cashflow'!B115:M115)</f>
        <v>0</v>
      </c>
    </row>
    <row r="99" spans="1:2" x14ac:dyDescent="0.2">
      <c r="A99" s="8" t="str">
        <f>'Project Cashflow'!A116</f>
        <v>Signage &amp; Boards</v>
      </c>
      <c r="B99" s="12">
        <f>SUM('Project Cashflow'!B116:M116)</f>
        <v>2750</v>
      </c>
    </row>
    <row r="100" spans="1:2" x14ac:dyDescent="0.2">
      <c r="A100" s="8" t="str">
        <f>'Project Cashflow'!A117</f>
        <v>Temp.fence &amp; Electrical</v>
      </c>
      <c r="B100" s="12">
        <f>SUM('Project Cashflow'!B117:M117)</f>
        <v>2750</v>
      </c>
    </row>
    <row r="101" spans="1:2" x14ac:dyDescent="0.2">
      <c r="A101" s="8" t="str">
        <f>'Project Cashflow'!A118</f>
        <v>Travel,Accom,&amp; Expens.</v>
      </c>
      <c r="B101" s="12">
        <f>SUM('Project Cashflow'!B118:M118)</f>
        <v>0</v>
      </c>
    </row>
    <row r="102" spans="1:2" x14ac:dyDescent="0.2">
      <c r="A102" s="8" t="str">
        <f>'Project Cashflow'!A119</f>
        <v xml:space="preserve">Web Site </v>
      </c>
      <c r="B102" s="12">
        <f>SUM('Project Cashflow'!B119:M119)</f>
        <v>5500</v>
      </c>
    </row>
    <row r="104" spans="1:2" x14ac:dyDescent="0.2">
      <c r="A104" s="9" t="s">
        <v>200</v>
      </c>
      <c r="B104" s="12">
        <f>'Project Cashflow'!M133-SUM('Project Cashflow'!B13:M13)-SUM('Project Cashflow'!B19:M19)-SUM('Project Cashflow'!B17:M17)</f>
        <v>47959.410995807804</v>
      </c>
    </row>
    <row r="106" spans="1:2" x14ac:dyDescent="0.2">
      <c r="A106" s="89" t="s">
        <v>205</v>
      </c>
      <c r="B106" s="87">
        <f>SUM(B7:B104)</f>
        <v>1299999.9999999998</v>
      </c>
    </row>
    <row r="109" spans="1:2" x14ac:dyDescent="0.2">
      <c r="B109" s="10"/>
    </row>
  </sheetData>
  <mergeCells count="3">
    <mergeCell ref="A1:B1"/>
    <mergeCell ref="A2:B2"/>
    <mergeCell ref="A3:B3"/>
  </mergeCells>
  <phoneticPr fontId="8" type="noConversion"/>
  <pageMargins left="0.39370078740157483" right="0.74803149606299213" top="0.23622047244094491" bottom="0.6692913385826772" header="0.23622047244094491" footer="0.669291338582677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4"/>
  <sheetViews>
    <sheetView zoomScaleNormal="100" workbookViewId="0">
      <pane xSplit="1" ySplit="5" topLeftCell="B6" activePane="bottomRight" state="frozen"/>
      <selection pane="topRight" activeCell="B1" sqref="B1"/>
      <selection pane="bottomLeft" activeCell="A3" sqref="A3"/>
      <selection pane="bottomRight" activeCell="L22" sqref="L22"/>
    </sheetView>
  </sheetViews>
  <sheetFormatPr defaultRowHeight="12.75" x14ac:dyDescent="0.2"/>
  <cols>
    <col min="1" max="1" width="9.85546875" bestFit="1" customWidth="1"/>
    <col min="2" max="3" width="11" customWidth="1"/>
    <col min="4" max="4" width="11.140625" customWidth="1"/>
    <col min="5" max="5" width="11.5703125" customWidth="1"/>
    <col min="6" max="6" width="11.28515625" bestFit="1" customWidth="1"/>
    <col min="7" max="8" width="11.7109375" customWidth="1"/>
    <col min="9" max="9" width="11.42578125" customWidth="1"/>
    <col min="10" max="10" width="11.5703125" customWidth="1"/>
    <col min="11" max="11" width="10.28515625" customWidth="1"/>
    <col min="12" max="12" width="16.85546875" bestFit="1" customWidth="1"/>
    <col min="13" max="13" width="15" style="44" customWidth="1"/>
  </cols>
  <sheetData>
    <row r="1" spans="1:13" ht="20.25" x14ac:dyDescent="0.3">
      <c r="A1" s="88" t="str">
        <f>'Profit and Loss'!A1:D1</f>
        <v>Project</v>
      </c>
    </row>
    <row r="2" spans="1:13" ht="20.25" x14ac:dyDescent="0.3">
      <c r="A2" s="88" t="s">
        <v>204</v>
      </c>
    </row>
    <row r="4" spans="1:13" x14ac:dyDescent="0.2">
      <c r="A4" s="77" t="s">
        <v>115</v>
      </c>
      <c r="B4" s="77" t="s">
        <v>116</v>
      </c>
      <c r="C4" s="77" t="s">
        <v>117</v>
      </c>
      <c r="D4" s="77" t="s">
        <v>118</v>
      </c>
      <c r="E4" s="78" t="s">
        <v>185</v>
      </c>
      <c r="F4" s="77" t="s">
        <v>186</v>
      </c>
      <c r="G4" s="77" t="s">
        <v>17</v>
      </c>
      <c r="H4" s="77" t="s">
        <v>187</v>
      </c>
      <c r="I4" s="77" t="s">
        <v>119</v>
      </c>
      <c r="J4" s="77" t="s">
        <v>120</v>
      </c>
      <c r="K4" s="79" t="s">
        <v>121</v>
      </c>
      <c r="L4" s="79" t="s">
        <v>122</v>
      </c>
      <c r="M4" s="79" t="s">
        <v>3</v>
      </c>
    </row>
    <row r="5" spans="1:13" x14ac:dyDescent="0.2">
      <c r="A5" s="77" t="s">
        <v>123</v>
      </c>
      <c r="B5" s="77" t="s">
        <v>124</v>
      </c>
      <c r="C5" s="77" t="s">
        <v>125</v>
      </c>
      <c r="D5" s="77" t="s">
        <v>126</v>
      </c>
      <c r="E5" s="78" t="s">
        <v>127</v>
      </c>
      <c r="F5" s="77" t="s">
        <v>127</v>
      </c>
      <c r="G5" s="77" t="s">
        <v>128</v>
      </c>
      <c r="H5" s="77" t="s">
        <v>128</v>
      </c>
      <c r="I5" s="77" t="s">
        <v>129</v>
      </c>
      <c r="J5" s="77" t="s">
        <v>130</v>
      </c>
      <c r="K5" s="77" t="s">
        <v>131</v>
      </c>
      <c r="L5" s="80" t="s">
        <v>132</v>
      </c>
      <c r="M5" s="80" t="s">
        <v>133</v>
      </c>
    </row>
    <row r="6" spans="1:13" ht="3" customHeight="1" x14ac:dyDescent="0.2">
      <c r="A6" s="52"/>
      <c r="B6" s="52"/>
      <c r="C6" s="52"/>
      <c r="D6" s="52"/>
      <c r="E6" s="72"/>
      <c r="F6" s="52"/>
      <c r="G6" s="73"/>
      <c r="H6" s="73"/>
      <c r="I6" s="74"/>
      <c r="J6" s="56"/>
      <c r="K6" s="75"/>
      <c r="L6" s="76"/>
      <c r="M6" s="45"/>
    </row>
    <row r="7" spans="1:13" ht="13.5" x14ac:dyDescent="0.2">
      <c r="A7" s="46" t="s">
        <v>180</v>
      </c>
      <c r="B7" s="47">
        <v>4</v>
      </c>
      <c r="C7" s="47">
        <v>3</v>
      </c>
      <c r="D7" s="48">
        <v>2</v>
      </c>
      <c r="E7" s="49">
        <v>270</v>
      </c>
      <c r="F7" s="69">
        <v>30</v>
      </c>
      <c r="G7" s="50">
        <f t="shared" ref="G7:G11" si="0">SUM(E7:F7)</f>
        <v>300</v>
      </c>
      <c r="H7" s="50">
        <v>300</v>
      </c>
      <c r="I7" s="70">
        <v>1200000</v>
      </c>
      <c r="J7" s="53">
        <f t="shared" ref="J7:J11" si="1">I7/E7</f>
        <v>4444.4444444444443</v>
      </c>
      <c r="K7" s="51">
        <f>G7/G12</f>
        <v>0.22058823529411764</v>
      </c>
      <c r="L7" s="71">
        <f>(SUM('Project Cashflow'!AC$24:AC$25)+'Project Cashflow'!AC$27)*K7</f>
        <v>243088.23529411765</v>
      </c>
      <c r="M7" s="71">
        <f>(I7-L7)/11</f>
        <v>86991.978609625672</v>
      </c>
    </row>
    <row r="8" spans="1:13" ht="13.5" x14ac:dyDescent="0.2">
      <c r="A8" s="46" t="s">
        <v>181</v>
      </c>
      <c r="B8" s="47">
        <v>3</v>
      </c>
      <c r="C8" s="47">
        <v>2</v>
      </c>
      <c r="D8" s="48">
        <v>2</v>
      </c>
      <c r="E8" s="49">
        <v>215</v>
      </c>
      <c r="F8" s="69">
        <v>30</v>
      </c>
      <c r="G8" s="50">
        <f t="shared" si="0"/>
        <v>245</v>
      </c>
      <c r="H8" s="50">
        <v>250</v>
      </c>
      <c r="I8" s="70">
        <v>950000</v>
      </c>
      <c r="J8" s="53">
        <f t="shared" si="1"/>
        <v>4418.604651162791</v>
      </c>
      <c r="K8" s="51">
        <f>G8/G12</f>
        <v>0.18014705882352941</v>
      </c>
      <c r="L8" s="71">
        <f>(SUM('Project Cashflow'!AC$24:AC$25)+'Project Cashflow'!AC$27)*K8</f>
        <v>198522.0588235294</v>
      </c>
      <c r="M8" s="71">
        <f t="shared" ref="M8:M11" si="2">(I8-L8)/11</f>
        <v>68316.176470588238</v>
      </c>
    </row>
    <row r="9" spans="1:13" ht="13.5" x14ac:dyDescent="0.2">
      <c r="A9" s="46" t="s">
        <v>182</v>
      </c>
      <c r="B9" s="47">
        <v>4</v>
      </c>
      <c r="C9" s="47">
        <v>2</v>
      </c>
      <c r="D9" s="48">
        <v>2</v>
      </c>
      <c r="E9" s="49">
        <v>240</v>
      </c>
      <c r="F9" s="69">
        <v>30</v>
      </c>
      <c r="G9" s="50">
        <f t="shared" si="0"/>
        <v>270</v>
      </c>
      <c r="H9" s="50">
        <v>215</v>
      </c>
      <c r="I9" s="70">
        <v>1100000</v>
      </c>
      <c r="J9" s="53">
        <f t="shared" si="1"/>
        <v>4583.333333333333</v>
      </c>
      <c r="K9" s="51">
        <f>G9/G12</f>
        <v>0.19852941176470587</v>
      </c>
      <c r="L9" s="71">
        <f>(SUM('Project Cashflow'!AC$24:AC$25)+'Project Cashflow'!AC$27)*K9</f>
        <v>218779.41176470587</v>
      </c>
      <c r="M9" s="71">
        <f t="shared" si="2"/>
        <v>80110.962566844915</v>
      </c>
    </row>
    <row r="10" spans="1:13" ht="13.5" x14ac:dyDescent="0.2">
      <c r="A10" s="46" t="s">
        <v>183</v>
      </c>
      <c r="B10" s="47">
        <v>3</v>
      </c>
      <c r="C10" s="47">
        <v>2</v>
      </c>
      <c r="D10" s="48">
        <v>2</v>
      </c>
      <c r="E10" s="49">
        <v>215</v>
      </c>
      <c r="F10" s="69">
        <v>30</v>
      </c>
      <c r="G10" s="50">
        <f t="shared" si="0"/>
        <v>245</v>
      </c>
      <c r="H10" s="50">
        <v>250</v>
      </c>
      <c r="I10" s="70">
        <v>925000</v>
      </c>
      <c r="J10" s="53">
        <f t="shared" si="1"/>
        <v>4302.3255813953492</v>
      </c>
      <c r="K10" s="51">
        <f>G10/G12</f>
        <v>0.18014705882352941</v>
      </c>
      <c r="L10" s="71">
        <f>(SUM('Project Cashflow'!AC$24:AC$25)+'Project Cashflow'!AC$27)*K10</f>
        <v>198522.0588235294</v>
      </c>
      <c r="M10" s="71">
        <f t="shared" si="2"/>
        <v>66043.449197860959</v>
      </c>
    </row>
    <row r="11" spans="1:13" ht="13.5" x14ac:dyDescent="0.2">
      <c r="A11" s="46" t="s">
        <v>184</v>
      </c>
      <c r="B11" s="47">
        <v>4</v>
      </c>
      <c r="C11" s="47">
        <v>3</v>
      </c>
      <c r="D11" s="48">
        <v>2</v>
      </c>
      <c r="E11" s="49">
        <v>270</v>
      </c>
      <c r="F11" s="69">
        <v>30</v>
      </c>
      <c r="G11" s="50">
        <f t="shared" si="0"/>
        <v>300</v>
      </c>
      <c r="H11" s="50">
        <v>300</v>
      </c>
      <c r="I11" s="70">
        <v>1175000</v>
      </c>
      <c r="J11" s="53">
        <f t="shared" si="1"/>
        <v>4351.8518518518522</v>
      </c>
      <c r="K11" s="51">
        <f>G11/G12</f>
        <v>0.22058823529411764</v>
      </c>
      <c r="L11" s="71">
        <f>(SUM('Project Cashflow'!AC$24:AC$25)+'Project Cashflow'!AC$27)*K11</f>
        <v>243088.23529411765</v>
      </c>
      <c r="M11" s="71">
        <f t="shared" si="2"/>
        <v>84719.251336898407</v>
      </c>
    </row>
    <row r="12" spans="1:13" ht="15" customHeight="1" x14ac:dyDescent="0.2">
      <c r="A12" s="64"/>
      <c r="B12" s="65"/>
      <c r="C12" s="65"/>
      <c r="D12" s="64">
        <f>SUM(D7:D11)</f>
        <v>10</v>
      </c>
      <c r="E12" s="64">
        <f>SUM(E7:E11)</f>
        <v>1210</v>
      </c>
      <c r="F12" s="64">
        <f>SUM(F7:F11)</f>
        <v>150</v>
      </c>
      <c r="G12" s="64">
        <f>SUM(G7:G11)</f>
        <v>1360</v>
      </c>
      <c r="H12" s="66"/>
      <c r="I12" s="64">
        <f>SUM(I7:I11)</f>
        <v>5350000</v>
      </c>
      <c r="J12" s="67">
        <f>AVERAGE(J7:J11)</f>
        <v>4420.1119724375549</v>
      </c>
      <c r="K12" s="68">
        <f>SUM(K7:K11)</f>
        <v>1</v>
      </c>
      <c r="L12" s="64">
        <f>SUM(L7:L11)</f>
        <v>1102000</v>
      </c>
      <c r="M12" s="64">
        <f>SUM(M7:M11)</f>
        <v>386181.81818181823</v>
      </c>
    </row>
    <row r="13" spans="1:13" ht="3" customHeight="1" x14ac:dyDescent="0.2">
      <c r="A13" s="54"/>
      <c r="B13" s="54"/>
      <c r="C13" s="54"/>
      <c r="D13" s="54"/>
      <c r="E13" s="55"/>
      <c r="F13" s="54"/>
      <c r="G13" s="54"/>
      <c r="H13" s="54"/>
      <c r="I13" s="54"/>
      <c r="J13" s="54"/>
      <c r="K13" s="54"/>
      <c r="L13" s="54"/>
      <c r="M13" s="56"/>
    </row>
    <row r="14" spans="1:13" ht="12.75" customHeight="1" x14ac:dyDescent="0.2">
      <c r="F14" s="59"/>
      <c r="G14" s="58"/>
      <c r="H14" s="58"/>
      <c r="I14" s="58"/>
      <c r="J14" s="58"/>
      <c r="K14" s="58"/>
      <c r="L14" s="57"/>
    </row>
  </sheetData>
  <pageMargins left="0.81" right="0.05" top="0.2" bottom="0.34" header="0.09" footer="0.1"/>
  <pageSetup paperSize="9" scale="65" orientation="portrait" horizontalDpi="300" verticalDpi="300" r:id="rId1"/>
  <headerFooter alignWithMargins="0">
    <oddFooter>&amp;CSales records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
  <sheetViews>
    <sheetView workbookViewId="0">
      <selection activeCell="D21" sqref="D21"/>
    </sheetView>
  </sheetViews>
  <sheetFormatPr defaultRowHeight="12.75" x14ac:dyDescent="0.2"/>
  <cols>
    <col min="1" max="1" width="13.85546875" bestFit="1" customWidth="1"/>
    <col min="2" max="10" width="13.28515625" customWidth="1"/>
  </cols>
  <sheetData>
    <row r="1" spans="1:10" ht="20.25" x14ac:dyDescent="0.3">
      <c r="A1" s="88" t="str">
        <f>'Profit and Loss'!A1:D1</f>
        <v>Project</v>
      </c>
    </row>
    <row r="2" spans="1:10" ht="20.25" x14ac:dyDescent="0.3">
      <c r="A2" s="88" t="s">
        <v>201</v>
      </c>
    </row>
    <row r="4" spans="1:10" x14ac:dyDescent="0.2">
      <c r="A4" s="1" t="s">
        <v>199</v>
      </c>
    </row>
    <row r="5" spans="1:10" x14ac:dyDescent="0.2">
      <c r="A5" s="1"/>
    </row>
    <row r="6" spans="1:10" x14ac:dyDescent="0.2">
      <c r="B6" s="63" t="s">
        <v>169</v>
      </c>
      <c r="C6" s="63" t="s">
        <v>168</v>
      </c>
      <c r="D6" s="63" t="s">
        <v>170</v>
      </c>
      <c r="E6" s="63" t="s">
        <v>171</v>
      </c>
      <c r="F6" s="63" t="s">
        <v>172</v>
      </c>
      <c r="G6" s="63" t="s">
        <v>174</v>
      </c>
      <c r="H6" s="63" t="s">
        <v>175</v>
      </c>
      <c r="I6" s="63" t="s">
        <v>173</v>
      </c>
      <c r="J6" s="63" t="s">
        <v>176</v>
      </c>
    </row>
    <row r="7" spans="1:10" x14ac:dyDescent="0.2">
      <c r="A7" t="s">
        <v>178</v>
      </c>
      <c r="B7" s="2">
        <f>'Profit and Loss'!$D$9*(1+'Variance Analysis'!B6)</f>
        <v>6420000</v>
      </c>
      <c r="C7" s="2">
        <f>'Profit and Loss'!$D$9*(1+'Variance Analysis'!C6)</f>
        <v>6152499.9999999991</v>
      </c>
      <c r="D7" s="2">
        <f>'Profit and Loss'!$D$9*(1+'Variance Analysis'!D6)</f>
        <v>5885000.0000000009</v>
      </c>
      <c r="E7" s="2">
        <f>'Profit and Loss'!$D$9*(1+'Variance Analysis'!E6)</f>
        <v>5617500</v>
      </c>
      <c r="F7" s="2">
        <f>'Profit and Loss'!$D$9*(1+'Variance Analysis'!F6)</f>
        <v>5350000</v>
      </c>
      <c r="G7" s="2">
        <f>'Profit and Loss'!$D$9*(1+'Variance Analysis'!G6)</f>
        <v>5082500</v>
      </c>
      <c r="H7" s="2">
        <f>'Profit and Loss'!$D$9*(1+'Variance Analysis'!H6)</f>
        <v>4815000</v>
      </c>
      <c r="I7" s="2">
        <f>'Profit and Loss'!$D$9*(1+'Variance Analysis'!I6)</f>
        <v>4547500</v>
      </c>
      <c r="J7" s="2">
        <f>'Profit and Loss'!$D$9*(1+'Variance Analysis'!J6)</f>
        <v>4280000</v>
      </c>
    </row>
    <row r="8" spans="1:10" x14ac:dyDescent="0.2">
      <c r="A8" t="s">
        <v>177</v>
      </c>
      <c r="B8" s="2">
        <f>'Profit and Loss'!$D$40+(B7-$F$7)-(B7-$F$7)*0.066</f>
        <v>2098189.2416888485</v>
      </c>
      <c r="C8" s="2">
        <f>'Profit and Loss'!$D$40+(C7-$F$7)-(C7-$F$7)*0.066</f>
        <v>1848344.2416888475</v>
      </c>
      <c r="D8" s="2">
        <f>'Profit and Loss'!$D$40+(D7-$F$7)-(D7-$F$7)*0.066</f>
        <v>1598499.2416888494</v>
      </c>
      <c r="E8" s="2">
        <f>'Profit and Loss'!$D$40+(E7-$F$7)-(E7-$F$7)*0.066</f>
        <v>1348654.2416888485</v>
      </c>
      <c r="F8" s="2">
        <f>'Profit and Loss'!$D$40+(F7-$F$7)-(F7-$F$7)*0.066</f>
        <v>1098809.2416888485</v>
      </c>
      <c r="G8" s="2">
        <f>'Profit and Loss'!$D$40+(G7-$F$7)-(G7-$F$7)*0.066</f>
        <v>848964.24168884847</v>
      </c>
      <c r="H8" s="2">
        <f>'Profit and Loss'!$D$40+(H7-$F$7)-(H7-$F$7)*0.066</f>
        <v>599119.24168884847</v>
      </c>
      <c r="I8" s="2">
        <f>'Profit and Loss'!$D$40+(I7-$F$7)-(I7-$F$7)*0.066</f>
        <v>349274.24168884847</v>
      </c>
      <c r="J8" s="2">
        <f>'Profit and Loss'!$D$40+(J7-$F$7)-(J7-$F$7)*0.066</f>
        <v>99429.241688848473</v>
      </c>
    </row>
    <row r="11" spans="1:10" x14ac:dyDescent="0.2">
      <c r="A11" s="1" t="s">
        <v>202</v>
      </c>
      <c r="B11" s="1"/>
    </row>
    <row r="13" spans="1:10" x14ac:dyDescent="0.2">
      <c r="B13" s="63" t="s">
        <v>169</v>
      </c>
      <c r="C13" s="63" t="s">
        <v>168</v>
      </c>
      <c r="D13" s="63" t="s">
        <v>170</v>
      </c>
      <c r="E13" s="63" t="s">
        <v>171</v>
      </c>
      <c r="F13" s="63" t="s">
        <v>172</v>
      </c>
      <c r="G13" s="63" t="s">
        <v>174</v>
      </c>
      <c r="H13" s="63" t="s">
        <v>175</v>
      </c>
      <c r="I13" s="63" t="s">
        <v>173</v>
      </c>
      <c r="J13" s="63" t="s">
        <v>176</v>
      </c>
    </row>
    <row r="14" spans="1:10" x14ac:dyDescent="0.2">
      <c r="A14" t="s">
        <v>179</v>
      </c>
      <c r="B14" s="2">
        <f>('Profit and Loss'!$D$38-'Profit and Loss'!$C$28-'Profit and Loss'!$C$30-'Profit and Loss'!$C$16)*(1+'Variance Analysis'!B13)</f>
        <v>2808970.9130606116</v>
      </c>
      <c r="C14" s="2">
        <f>('Profit and Loss'!$D$38-'Profit and Loss'!$C$28-'Profit and Loss'!$C$30-'Profit and Loss'!$C$16)*(1+'Variance Analysis'!C13)</f>
        <v>2691930.4583497527</v>
      </c>
      <c r="D14" s="2">
        <f>('Profit and Loss'!$D$38-'Profit and Loss'!$C$28-'Profit and Loss'!$C$30-'Profit and Loss'!$C$16)*(1+'Variance Analysis'!D13)</f>
        <v>2574890.0036388943</v>
      </c>
      <c r="E14" s="2">
        <f>('Profit and Loss'!$D$38-'Profit and Loss'!$C$28-'Profit and Loss'!$C$30-'Profit and Loss'!$C$16)*(1+'Variance Analysis'!E13)</f>
        <v>2457849.5489280354</v>
      </c>
      <c r="F14" s="2">
        <f>('Profit and Loss'!$D$38-'Profit and Loss'!$C$28-'Profit and Loss'!$C$30-'Profit and Loss'!$C$16)*(1+'Variance Analysis'!F13)</f>
        <v>2340809.0942171765</v>
      </c>
      <c r="G14" s="2">
        <f>('Profit and Loss'!$D$38-'Profit and Loss'!$C$28-'Profit and Loss'!$C$30-'Profit and Loss'!$C$16)*(1+'Variance Analysis'!G13)</f>
        <v>2223768.6395063177</v>
      </c>
      <c r="H14" s="2">
        <f>('Profit and Loss'!$D$38-'Profit and Loss'!$C$28-'Profit and Loss'!$C$30-'Profit and Loss'!$C$16)*(1+'Variance Analysis'!H13)</f>
        <v>2106728.1847954588</v>
      </c>
      <c r="I14" s="2">
        <f>('Profit and Loss'!$D$38-'Profit and Loss'!$C$28-'Profit and Loss'!$C$30-'Profit and Loss'!$C$16)*(1+'Variance Analysis'!I13)</f>
        <v>1989687.7300845999</v>
      </c>
      <c r="J14" s="2">
        <f>('Profit and Loss'!$D$38-'Profit and Loss'!$C$28-'Profit and Loss'!$C$30-'Profit and Loss'!$C$16)*(1+'Variance Analysis'!J13)</f>
        <v>1872647.2753737413</v>
      </c>
    </row>
    <row r="15" spans="1:10" x14ac:dyDescent="0.2">
      <c r="A15" t="s">
        <v>177</v>
      </c>
      <c r="B15" s="2">
        <f>'Profit and Loss'!$D$40-(B14-$F$14)</f>
        <v>630647.42284541344</v>
      </c>
      <c r="C15" s="2">
        <f>'Profit and Loss'!$D$40-(C14-$F$14)</f>
        <v>747687.87755627232</v>
      </c>
      <c r="D15" s="2">
        <f>'Profit and Loss'!$D$40-(D14-$F$14)</f>
        <v>864728.33226713073</v>
      </c>
      <c r="E15" s="2">
        <f>'Profit and Loss'!$D$40-(E14-$F$14)</f>
        <v>981768.7869779896</v>
      </c>
      <c r="F15" s="2">
        <f>'Profit and Loss'!$D$40-(F14-$F$14)</f>
        <v>1098809.2416888485</v>
      </c>
      <c r="G15" s="2">
        <f>'Profit and Loss'!$D$40-(G14-$F$14)</f>
        <v>1215849.6963997073</v>
      </c>
      <c r="H15" s="2">
        <f>'Profit and Loss'!$D$40-(H14-$F$14)</f>
        <v>1332890.1511105662</v>
      </c>
      <c r="I15" s="2">
        <f>'Profit and Loss'!$D$40-(I14-$F$14)</f>
        <v>1449930.6058214251</v>
      </c>
      <c r="J15" s="2">
        <f>'Profit and Loss'!$D$40-(J14-$F$14)</f>
        <v>1566971.0605322837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topLeftCell="A22" workbookViewId="0">
      <selection activeCell="E17" sqref="E17"/>
    </sheetView>
  </sheetViews>
  <sheetFormatPr defaultRowHeight="12.75" x14ac:dyDescent="0.2"/>
  <sheetData>
    <row r="1" spans="1:1" ht="20.25" x14ac:dyDescent="0.3">
      <c r="A1" s="88" t="str">
        <f>'Profit and Loss'!A1:D1</f>
        <v>Project</v>
      </c>
    </row>
    <row r="2" spans="1:1" ht="20.25" x14ac:dyDescent="0.3">
      <c r="A2" s="88" t="s">
        <v>203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2B9A4C0C92C94AA075B39B0F238112" ma:contentTypeVersion="9" ma:contentTypeDescription="Create a new document." ma:contentTypeScope="" ma:versionID="d9758918915e9d226906b472542aca18">
  <xsd:schema xmlns:xsd="http://www.w3.org/2001/XMLSchema" xmlns:xs="http://www.w3.org/2001/XMLSchema" xmlns:p="http://schemas.microsoft.com/office/2006/metadata/properties" xmlns:ns2="d4e8cff9-76d3-441a-aa36-e1af2b3713f3" xmlns:ns3="339a6c71-21e1-4a4e-b980-278a06181d00" targetNamespace="http://schemas.microsoft.com/office/2006/metadata/properties" ma:root="true" ma:fieldsID="f7973af7698a56a1fc426105def6794e" ns2:_="" ns3:_="">
    <xsd:import namespace="d4e8cff9-76d3-441a-aa36-e1af2b3713f3"/>
    <xsd:import namespace="339a6c71-21e1-4a4e-b980-278a06181d00"/>
    <xsd:element name="properties">
      <xsd:complexType>
        <xsd:sequence>
          <xsd:element name="documentManagement">
            <xsd:complexType>
              <xsd:all>
                <xsd:element ref="ns2:SharedDocumentAccessGuid" minOccurs="0"/>
                <xsd:element ref="ns2:Archived" minOccurs="0"/>
                <xsd:element ref="ns2:MigratedSourceSystemLocation" minOccurs="0"/>
                <xsd:element ref="ns2:JSONPreview" minOccurs="0"/>
                <xsd:element ref="ns2:MigratedSourceSystemLocationNote" minOccurs="0"/>
                <xsd:element ref="ns3:SharedWithUsers" minOccurs="0"/>
                <xsd:element ref="ns3: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8cff9-76d3-441a-aa36-e1af2b3713f3" elementFormDefault="qualified">
    <xsd:import namespace="http://schemas.microsoft.com/office/2006/documentManagement/types"/>
    <xsd:import namespace="http://schemas.microsoft.com/office/infopath/2007/PartnerControls"/>
    <xsd:element name="SharedDocumentAccessGuid" ma:index="8" nillable="true" ma:displayName="SharedDocumentAccessGuid" ma:hidden="true" ma:internalName="SharedDocumentAccessGuid">
      <xsd:simpleType>
        <xsd:restriction base="dms:Text"/>
      </xsd:simpleType>
    </xsd:element>
    <xsd:element name="Archived" ma:index="9" nillable="true" ma:displayName="Archived" ma:internalName="Archived">
      <xsd:simpleType>
        <xsd:restriction base="dms:Boolean"/>
      </xsd:simpleType>
    </xsd:element>
    <xsd:element name="MigratedSourceSystemLocation" ma:index="10" nillable="true" ma:displayName="MigratedSourceSystemLocation" ma:hidden="true" ma:internalName="MigratedSourceSystemLocation">
      <xsd:simpleType>
        <xsd:restriction base="dms:Text"/>
      </xsd:simpleType>
    </xsd:element>
    <xsd:element name="JSONPreview" ma:index="11" nillable="true" ma:displayName="JSONPreview" ma:hidden="true" ma:internalName="JSONPreview">
      <xsd:simpleType>
        <xsd:restriction base="dms:Note"/>
      </xsd:simpleType>
    </xsd:element>
    <xsd:element name="MigratedSourceSystemLocationNote" ma:index="12" nillable="true" ma:displayName="MigratedSourceSystemLocationNote" ma:hidden="true" ma:internalName="MigratedSourceSystemLocationNot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9a6c71-21e1-4a4e-b980-278a06181d00"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LastSharedByUser" ma:index="15" nillable="true" ma:displayName="Last Shared By User" ma:description=""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DocumentAccessGuid xmlns="d4e8cff9-76d3-441a-aa36-e1af2b3713f3" xsi:nil="true"/>
    <MigratedSourceSystemLocationNote xmlns="d4e8cff9-76d3-441a-aa36-e1af2b3713f3" xsi:nil="true"/>
    <Archived xmlns="d4e8cff9-76d3-441a-aa36-e1af2b3713f3" xsi:nil="true"/>
    <MigratedSourceSystemLocation xmlns="d4e8cff9-76d3-441a-aa36-e1af2b3713f3" xsi:nil="true"/>
    <JSONPreview xmlns="d4e8cff9-76d3-441a-aa36-e1af2b3713f3" xsi:nil="true"/>
  </documentManagement>
</p:properties>
</file>

<file path=customXml/itemProps1.xml><?xml version="1.0" encoding="utf-8"?>
<ds:datastoreItem xmlns:ds="http://schemas.openxmlformats.org/officeDocument/2006/customXml" ds:itemID="{F2BF8D1A-ED6D-4EB1-A228-18AB11E44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8cff9-76d3-441a-aa36-e1af2b3713f3"/>
    <ds:schemaRef ds:uri="339a6c71-21e1-4a4e-b980-278a06181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E4810-496F-480D-B362-349E507C6E45}">
  <ds:schemaRefs>
    <ds:schemaRef ds:uri="http://schemas.microsoft.com/sharepoint/v3/contenttype/forms"/>
  </ds:schemaRefs>
</ds:datastoreItem>
</file>

<file path=customXml/itemProps3.xml><?xml version="1.0" encoding="utf-8"?>
<ds:datastoreItem xmlns:ds="http://schemas.openxmlformats.org/officeDocument/2006/customXml" ds:itemID="{7686C456-755E-47ED-9669-A29F3DE2B560}">
  <ds:schemaRefs>
    <ds:schemaRef ds:uri="http://schemas.openxmlformats.org/package/2006/metadata/core-properties"/>
    <ds:schemaRef ds:uri="http://purl.org/dc/elements/1.1/"/>
    <ds:schemaRef ds:uri="http://purl.org/dc/dcmitype/"/>
    <ds:schemaRef ds:uri="http://schemas.microsoft.com/office/2006/documentManagement/types"/>
    <ds:schemaRef ds:uri="d4e8cff9-76d3-441a-aa36-e1af2b3713f3"/>
    <ds:schemaRef ds:uri="http://schemas.microsoft.com/office/2006/metadata/properties"/>
    <ds:schemaRef ds:uri="http://purl.org/dc/terms/"/>
    <ds:schemaRef ds:uri="http://schemas.microsoft.com/office/infopath/2007/PartnerControls"/>
    <ds:schemaRef ds:uri="339a6c71-21e1-4a4e-b980-278a06181d0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DISCLAIMER</vt:lpstr>
      <vt:lpstr>Profit and Loss</vt:lpstr>
      <vt:lpstr>Project Cashflow</vt:lpstr>
      <vt:lpstr>Equity Allocation</vt:lpstr>
      <vt:lpstr>Sales Schedule</vt:lpstr>
      <vt:lpstr>Variance Analysis</vt:lpstr>
      <vt:lpstr>Assumptions</vt:lpstr>
      <vt:lpstr>'Equity Allocation'!Print_Area</vt:lpstr>
      <vt:lpstr>'Project Cashflow'!Print_Area</vt:lpstr>
      <vt:lpstr>'Sales Schedule'!Print_Area</vt:lpstr>
    </vt:vector>
  </TitlesOfParts>
  <Company>JSP Partners 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benpayne</dc:creator>
  <cp:lastModifiedBy>Martin</cp:lastModifiedBy>
  <cp:lastPrinted>2009-07-15T23:28:45Z</cp:lastPrinted>
  <dcterms:created xsi:type="dcterms:W3CDTF">2007-10-09T03:42:37Z</dcterms:created>
  <dcterms:modified xsi:type="dcterms:W3CDTF">2018-01-04T03:57:05Z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0x0101008F2B9A4C0C92C94AA075B39B0F238112</vt:lpwstr>
  </property>
</Properties>
</file>